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app.xml" ContentType="application/vnd.openxmlformats-officedocument.extended-properties+xml"/>
  <Override PartName="/xl/externalLinks/externalLink1.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https://sescto-my.sharepoint.com/personal/adilio_sescto_com_br/Documents/Licitação/Concorrêencia - 2024/Centro de Atividade de Palmas C.A/EXTERNO/EXTERNO/ORÇAMENTO/"/>
    </mc:Choice>
  </mc:AlternateContent>
  <xr:revisionPtr revIDLastSave="3" documentId="13_ncr:1_{1CD2B147-68F3-4BA9-880B-DD5962CC513C}" xr6:coauthVersionLast="47" xr6:coauthVersionMax="47" xr10:uidLastSave="{FF3C034B-2776-40BC-95BA-02842C574AE7}"/>
  <bookViews>
    <workbookView xWindow="43215" yWindow="0" windowWidth="14490" windowHeight="15585" activeTab="2" xr2:uid="{00000000-000D-0000-FFFF-FFFF00000000}"/>
  </bookViews>
  <sheets>
    <sheet name="CRONOGRAMA" sheetId="7" r:id="rId1"/>
    <sheet name="BDI" sheetId="6" r:id="rId2"/>
    <sheet name="ORÇAMENTO SINTÉTICO" sheetId="2" r:id="rId3"/>
    <sheet name="MC" sheetId="1" r:id="rId4"/>
  </sheets>
  <externalReferences>
    <externalReference r:id="rId5"/>
  </externalReferences>
  <definedNames>
    <definedName name="_xlnm.Print_Area" localSheetId="1">BDI!$F:$K</definedName>
    <definedName name="_xlnm.Print_Area" localSheetId="0">CRONOGRAMA!$A$1:$H$65</definedName>
    <definedName name="_xlnm.Print_Area" localSheetId="3">MC!$A$1:$F$2515</definedName>
    <definedName name="_xlnm.Print_Area" localSheetId="2">'ORÇAMENTO SINTÉTICO'!$A$1:$I$430</definedName>
    <definedName name="_xlnm.Database">TEXT([1]Dados!$G$15,"mm-aaaa")</definedName>
    <definedName name="Código">#REF!</definedName>
    <definedName name="CRONO.ParcelasFolha">8</definedName>
    <definedName name="Fonte">#REF!</definedName>
    <definedName name="Import.Ação">[1]Dados!#REF!</definedName>
    <definedName name="Import.ApelidoCR">[1]Dados!#REF!</definedName>
    <definedName name="Import.Código">OFFSET(#REF!,1,0,TamanhoOrçamento)</definedName>
    <definedName name="Import.CR">[1]Dados!#REF!</definedName>
    <definedName name="Import.CustoUnitário">OFFSET(#REF!,1,0,TamanhoOrçamento)</definedName>
    <definedName name="Import.Descrição">OFFSET(#REF!,1,0,TamanhoOrçamento)</definedName>
    <definedName name="Import.Fonte">OFFSET(#REF!,1,0,TamanhoOrçamento)</definedName>
    <definedName name="Import.FrenteDeObra">OFFSET(#REF!,-1,0,1,COUNTA(#REF!))</definedName>
    <definedName name="Import.Gestor">[1]Dados!#REF!</definedName>
    <definedName name="Import.Item">OFFSET(#REF!,1,0,TamanhoOrçamento)</definedName>
    <definedName name="Import.Localidade">[1]Dados!$G$10</definedName>
    <definedName name="Import.Município">[1]Dados!$G$7</definedName>
    <definedName name="Import.PLQ">OFFSET(#REF!,1,0,TamanhoOrçamento,COUNTA(#REF!))</definedName>
    <definedName name="Import.PreçoTotal">OFFSET(#REF!,1,0,TamanhoOrçamento)</definedName>
    <definedName name="Import.PreçoUnitário">OFFSET(#REF!,1,0,TamanhoOrçamento)</definedName>
    <definedName name="Import.Proponente">[1]Dados!$G$6</definedName>
    <definedName name="Import.Quantidade">OFFSET(#REF!,1,0,TamanhoOrçamento)</definedName>
    <definedName name="Import.SICONV">[1]Dados!#REF!</definedName>
    <definedName name="Import.Unidade">OFFSET(#REF!,1,0,TamanhoOrçamento)</definedName>
    <definedName name="itensdeinvestimento">OFFSET(#REF!,1,0,COUNTA(#REF!)-1)</definedName>
    <definedName name="listaCTEF">#REF!</definedName>
    <definedName name="listalotes">#REF!</definedName>
    <definedName name="NUM_OPERACAO">TEXT(SUBSTITUTE(LEFT(SUBSTITUTE([0]!Import.CR,".",""),7),"-",""),"0000000")</definedName>
    <definedName name="SENHAGT" hidden="1">"pm2caixa"</definedName>
    <definedName name="subitemdeinvestimento">OFFSET(#REF!,1,MATCH(#REF!,#REF!,0)-1,OFFSET(#REF!,0,MATCH(#REF!,#REF!,0)))</definedName>
    <definedName name="TamanhoOrçamento">MATCH("zzzzzzzzzzzzzzz",#REF!)</definedName>
    <definedName name="TIPO">IF(#REF!&lt;=25,#REF!,#REF!)</definedName>
    <definedName name="_xlnm.Print_Titles" localSheetId="0">CRONOGRAMA!$1:$4</definedName>
    <definedName name="_xlnm.Print_Titles" localSheetId="2">'ORÇAMENTO SINTÉTICO'!$1:$6</definedName>
    <definedName name="Z_16211F70_B368_4AC8_91D9_8A530F1C6BB9_.wvu.Rows" localSheetId="1" hidden="1">BDI!$1:$7</definedName>
    <definedName name="Z_6B8CF519_798E_430E_95BE_3372D42A3007_.wvu.Cols" localSheetId="1" hidden="1">BDI!$AI:$BT</definedName>
    <definedName name="Z_6B8CF519_798E_430E_95BE_3372D42A3007_.wvu.PrintArea" localSheetId="1" hidden="1">BDI!$F$12:$K$45,BDI!$P$12:$U$45,BDI!$Z$12:$AE$45</definedName>
    <definedName name="Z_6B8CF519_798E_430E_95BE_3372D42A3007_.wvu.Rows" localSheetId="1" hidden="1">BDI!$1:$8</definedName>
    <definedName name="Z_87D163E4_4B86_4E13_9E41_5670B691838C_.wvu.PrintArea" localSheetId="1" hidden="1">BDI!$F$11:$K$45,BDI!$P$11:$U$45,BDI!$Z$11:$AE$45</definedName>
    <definedName name="Z_87D163E4_4B86_4E13_9E41_5670B691838C_.wvu.Rows" localSheetId="1" hidden="1">BDI!$1:$7</definedName>
    <definedName name="Z_DE04FCEF_62B3_4FCB_94CD_135AA18A0088_.wvu.Cols" localSheetId="1" hidden="1">BDI!$AI:$AZ</definedName>
    <definedName name="Z_DE04FCEF_62B3_4FCB_94CD_135AA18A0088_.wvu.PrintArea" localSheetId="1" hidden="1">BDI!$F:$K,BDI!$P:$U,BDI!$Z:$AE</definedName>
    <definedName name="Z_DE04FCEF_62B3_4FCB_94CD_135AA18A0088_.wvu.Rows" localSheetId="1" hidden="1">BDI!$1:$7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1" i="2" l="1"/>
  <c r="F79" i="2"/>
  <c r="I79" i="2" s="1"/>
  <c r="F1015" i="1"/>
  <c r="F83" i="2"/>
  <c r="I83" i="2" s="1"/>
  <c r="D1040" i="1"/>
  <c r="D1022" i="1"/>
  <c r="AL10" i="6"/>
  <c r="AM10" i="6"/>
  <c r="AN10" i="6"/>
  <c r="AO10" i="6"/>
  <c r="AP10" i="6"/>
  <c r="AQ10" i="6"/>
  <c r="AR10" i="6"/>
  <c r="AS10" i="6"/>
  <c r="AT10" i="6"/>
  <c r="AU10" i="6"/>
  <c r="AV10" i="6"/>
  <c r="AW10" i="6"/>
  <c r="AL11" i="6"/>
  <c r="AM11" i="6"/>
  <c r="AN11" i="6"/>
  <c r="AO11" i="6"/>
  <c r="AP11" i="6"/>
  <c r="AQ11" i="6"/>
  <c r="AR11" i="6"/>
  <c r="AS11" i="6"/>
  <c r="AT11" i="6"/>
  <c r="AU11" i="6"/>
  <c r="AV11" i="6"/>
  <c r="AW11" i="6"/>
  <c r="F12" i="6"/>
  <c r="I12" i="6"/>
  <c r="P12" i="6"/>
  <c r="S12" i="6"/>
  <c r="Z12" i="6"/>
  <c r="AC12" i="6"/>
  <c r="AL12" i="6"/>
  <c r="AM12" i="6"/>
  <c r="AH30" i="6" s="1"/>
  <c r="AN12" i="6"/>
  <c r="AO12" i="6"/>
  <c r="AH21" i="6" s="1"/>
  <c r="AP12" i="6"/>
  <c r="AQ12" i="6"/>
  <c r="AR12" i="6"/>
  <c r="AS12" i="6"/>
  <c r="AH23" i="6" s="1"/>
  <c r="AT12" i="6"/>
  <c r="AG22" i="6" s="1"/>
  <c r="AF22" i="6" s="1"/>
  <c r="AU12" i="6"/>
  <c r="AV12" i="6"/>
  <c r="AW12" i="6"/>
  <c r="AH25" i="6" s="1"/>
  <c r="F15" i="6"/>
  <c r="I15" i="6"/>
  <c r="P15" i="6"/>
  <c r="S15" i="6"/>
  <c r="Z15" i="6"/>
  <c r="AC15" i="6"/>
  <c r="M21" i="6"/>
  <c r="L21" i="6" s="1"/>
  <c r="N21" i="6"/>
  <c r="V21" i="6"/>
  <c r="W21" i="6"/>
  <c r="X21" i="6"/>
  <c r="AG21" i="6"/>
  <c r="M22" i="6"/>
  <c r="N22" i="6"/>
  <c r="L22" i="6" s="1"/>
  <c r="W22" i="6"/>
  <c r="V22" i="6" s="1"/>
  <c r="X22" i="6"/>
  <c r="AH22" i="6"/>
  <c r="M23" i="6"/>
  <c r="L23" i="6" s="1"/>
  <c r="N23" i="6"/>
  <c r="W23" i="6"/>
  <c r="X23" i="6"/>
  <c r="V23" i="6" s="1"/>
  <c r="AG23" i="6"/>
  <c r="AF23" i="6" s="1"/>
  <c r="L24" i="6"/>
  <c r="M24" i="6"/>
  <c r="N24" i="6"/>
  <c r="W24" i="6"/>
  <c r="V24" i="6" s="1"/>
  <c r="X24" i="6"/>
  <c r="AG24" i="6"/>
  <c r="AH24" i="6"/>
  <c r="AF24" i="6" s="1"/>
  <c r="M25" i="6"/>
  <c r="L25" i="6" s="1"/>
  <c r="N25" i="6"/>
  <c r="V25" i="6"/>
  <c r="W25" i="6"/>
  <c r="X25" i="6"/>
  <c r="AG25" i="6"/>
  <c r="K28" i="6"/>
  <c r="AJ10" i="6" s="1"/>
  <c r="L31" i="6" s="1"/>
  <c r="U28" i="6"/>
  <c r="AJ11" i="6" s="1"/>
  <c r="V31" i="6" s="1"/>
  <c r="AE28" i="6"/>
  <c r="AJ12" i="6" s="1"/>
  <c r="H29" i="6"/>
  <c r="U29" i="6"/>
  <c r="AE29" i="6"/>
  <c r="K30" i="6"/>
  <c r="L30" i="6" s="1"/>
  <c r="M30" i="6"/>
  <c r="N30" i="6"/>
  <c r="U30" i="6"/>
  <c r="V30" i="6" s="1"/>
  <c r="W30" i="6"/>
  <c r="X30" i="6"/>
  <c r="AE30" i="6"/>
  <c r="AF30" i="6" s="1"/>
  <c r="AG30" i="6"/>
  <c r="K31" i="6"/>
  <c r="F35" i="6" s="1"/>
  <c r="U31" i="6"/>
  <c r="AE31" i="6"/>
  <c r="AF31" i="6"/>
  <c r="Z35" i="6"/>
  <c r="F43" i="6"/>
  <c r="P43" i="6"/>
  <c r="U43" i="6"/>
  <c r="Z43" i="6"/>
  <c r="AE43" i="6"/>
  <c r="F44" i="6"/>
  <c r="P44" i="6"/>
  <c r="Z44" i="6"/>
  <c r="I9" i="2"/>
  <c r="I10" i="2"/>
  <c r="I11" i="2"/>
  <c r="I13" i="2"/>
  <c r="I14" i="2"/>
  <c r="I15" i="2"/>
  <c r="I16" i="2"/>
  <c r="I17" i="2"/>
  <c r="I20" i="2"/>
  <c r="I21" i="2"/>
  <c r="I22" i="2"/>
  <c r="I23" i="2"/>
  <c r="I24" i="2"/>
  <c r="I25" i="2"/>
  <c r="I26" i="2"/>
  <c r="I27" i="2"/>
  <c r="I28" i="2"/>
  <c r="I29" i="2"/>
  <c r="I30" i="2"/>
  <c r="I32" i="2"/>
  <c r="I31" i="2" s="1"/>
  <c r="I35" i="2"/>
  <c r="I36" i="2"/>
  <c r="I37" i="2"/>
  <c r="I38" i="2"/>
  <c r="I39" i="2"/>
  <c r="I41" i="2"/>
  <c r="I42" i="2"/>
  <c r="I43" i="2"/>
  <c r="I44" i="2"/>
  <c r="I45" i="2"/>
  <c r="I46" i="2"/>
  <c r="I48" i="2"/>
  <c r="I47" i="2" s="1"/>
  <c r="I50" i="2"/>
  <c r="I51" i="2"/>
  <c r="I52" i="2"/>
  <c r="I53" i="2"/>
  <c r="I55" i="2"/>
  <c r="I56" i="2"/>
  <c r="I57" i="2"/>
  <c r="I58" i="2"/>
  <c r="I59" i="2"/>
  <c r="I60" i="2"/>
  <c r="I62" i="2"/>
  <c r="I63" i="2"/>
  <c r="I64" i="2"/>
  <c r="I65" i="2"/>
  <c r="I67" i="2"/>
  <c r="I68" i="2"/>
  <c r="I69" i="2"/>
  <c r="I70" i="2"/>
  <c r="I71" i="2"/>
  <c r="I72" i="2"/>
  <c r="I74" i="2"/>
  <c r="I75" i="2"/>
  <c r="I76" i="2"/>
  <c r="I77" i="2"/>
  <c r="I78" i="2"/>
  <c r="I80" i="2"/>
  <c r="I81" i="2"/>
  <c r="I82" i="2"/>
  <c r="I84" i="2"/>
  <c r="I85" i="2"/>
  <c r="I86" i="2"/>
  <c r="I87" i="2"/>
  <c r="I88" i="2"/>
  <c r="I89" i="2"/>
  <c r="I90" i="2"/>
  <c r="I92" i="2"/>
  <c r="I93" i="2"/>
  <c r="I94" i="2"/>
  <c r="I95" i="2"/>
  <c r="I96" i="2"/>
  <c r="I97" i="2"/>
  <c r="I98" i="2"/>
  <c r="I99" i="2"/>
  <c r="I101" i="2"/>
  <c r="I102" i="2"/>
  <c r="I103" i="2"/>
  <c r="I104" i="2"/>
  <c r="I105" i="2"/>
  <c r="I106" i="2"/>
  <c r="I107" i="2"/>
  <c r="I108" i="2"/>
  <c r="I111" i="2"/>
  <c r="I112" i="2"/>
  <c r="I113" i="2"/>
  <c r="I114" i="2"/>
  <c r="I115" i="2"/>
  <c r="I116" i="2"/>
  <c r="I117" i="2"/>
  <c r="I118" i="2"/>
  <c r="I119" i="2"/>
  <c r="I120" i="2"/>
  <c r="I121" i="2"/>
  <c r="I123" i="2"/>
  <c r="I124" i="2"/>
  <c r="I125" i="2"/>
  <c r="I126" i="2"/>
  <c r="I127" i="2"/>
  <c r="I128" i="2"/>
  <c r="I129" i="2"/>
  <c r="I131" i="2"/>
  <c r="I132" i="2"/>
  <c r="I133" i="2"/>
  <c r="I134" i="2"/>
  <c r="I136" i="2"/>
  <c r="I135" i="2" s="1"/>
  <c r="I138" i="2"/>
  <c r="I139" i="2"/>
  <c r="I140" i="2"/>
  <c r="I141" i="2"/>
  <c r="I142" i="2"/>
  <c r="I143" i="2"/>
  <c r="I144" i="2"/>
  <c r="I145" i="2"/>
  <c r="I148" i="2"/>
  <c r="I149" i="2"/>
  <c r="I151" i="2"/>
  <c r="I152" i="2"/>
  <c r="I153" i="2"/>
  <c r="I155" i="2"/>
  <c r="I156" i="2"/>
  <c r="I157" i="2"/>
  <c r="I159" i="2"/>
  <c r="I160" i="2"/>
  <c r="I162" i="2"/>
  <c r="I163" i="2"/>
  <c r="I164" i="2"/>
  <c r="I166" i="2"/>
  <c r="I167" i="2"/>
  <c r="I168" i="2"/>
  <c r="I169" i="2"/>
  <c r="I170" i="2"/>
  <c r="I171" i="2"/>
  <c r="I172" i="2"/>
  <c r="I173" i="2"/>
  <c r="I174" i="2"/>
  <c r="I175"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5" i="2"/>
  <c r="I206" i="2"/>
  <c r="I207" i="2"/>
  <c r="I208" i="2"/>
  <c r="I209" i="2"/>
  <c r="I210" i="2"/>
  <c r="I211" i="2"/>
  <c r="I212" i="2"/>
  <c r="I213" i="2"/>
  <c r="I214" i="2"/>
  <c r="I215" i="2"/>
  <c r="I216" i="2"/>
  <c r="I218" i="2"/>
  <c r="I219" i="2"/>
  <c r="I220" i="2"/>
  <c r="I221" i="2"/>
  <c r="I222" i="2"/>
  <c r="I224" i="2"/>
  <c r="I225" i="2"/>
  <c r="I226" i="2"/>
  <c r="I227" i="2"/>
  <c r="I229" i="2"/>
  <c r="I230" i="2"/>
  <c r="I231" i="2"/>
  <c r="I232" i="2"/>
  <c r="I233" i="2"/>
  <c r="I236" i="2"/>
  <c r="I237" i="2"/>
  <c r="I238" i="2"/>
  <c r="I240" i="2"/>
  <c r="I241" i="2"/>
  <c r="I243" i="2"/>
  <c r="I242" i="2" s="1"/>
  <c r="I245" i="2"/>
  <c r="I246" i="2"/>
  <c r="I247" i="2"/>
  <c r="I249" i="2"/>
  <c r="I250" i="2"/>
  <c r="I252" i="2"/>
  <c r="I253" i="2"/>
  <c r="I254" i="2"/>
  <c r="I255" i="2"/>
  <c r="I256" i="2"/>
  <c r="I257" i="2"/>
  <c r="I258" i="2"/>
  <c r="I259" i="2"/>
  <c r="I262" i="2"/>
  <c r="I263" i="2"/>
  <c r="I264" i="2"/>
  <c r="I265" i="2"/>
  <c r="I266" i="2"/>
  <c r="I267" i="2"/>
  <c r="I268" i="2"/>
  <c r="I269" i="2"/>
  <c r="I270" i="2"/>
  <c r="I271" i="2"/>
  <c r="I272" i="2"/>
  <c r="I273" i="2"/>
  <c r="I274" i="2"/>
  <c r="I275" i="2"/>
  <c r="I276" i="2"/>
  <c r="I277" i="2"/>
  <c r="I278" i="2"/>
  <c r="I279" i="2"/>
  <c r="I280" i="2"/>
  <c r="I281" i="2"/>
  <c r="I282" i="2"/>
  <c r="I285" i="2"/>
  <c r="I286" i="2"/>
  <c r="I287" i="2"/>
  <c r="I288" i="2"/>
  <c r="I290" i="2"/>
  <c r="I289" i="2" s="1"/>
  <c r="I293" i="2"/>
  <c r="I294" i="2"/>
  <c r="I295" i="2"/>
  <c r="I296" i="2"/>
  <c r="I297" i="2"/>
  <c r="I299" i="2"/>
  <c r="I300" i="2"/>
  <c r="I301" i="2"/>
  <c r="I302" i="2"/>
  <c r="I303" i="2"/>
  <c r="I304" i="2"/>
  <c r="I305" i="2"/>
  <c r="I307" i="2"/>
  <c r="I308" i="2"/>
  <c r="I310" i="2"/>
  <c r="I312" i="2"/>
  <c r="I313" i="2"/>
  <c r="I314" i="2"/>
  <c r="I315" i="2"/>
  <c r="I318" i="2"/>
  <c r="I319" i="2"/>
  <c r="I321" i="2"/>
  <c r="I322" i="2"/>
  <c r="I323" i="2"/>
  <c r="I325" i="2"/>
  <c r="I324" i="2" s="1"/>
  <c r="I328" i="2"/>
  <c r="I329" i="2"/>
  <c r="I330" i="2"/>
  <c r="I331" i="2"/>
  <c r="I333" i="2"/>
  <c r="I334" i="2"/>
  <c r="I336" i="2"/>
  <c r="I337" i="2"/>
  <c r="I338" i="2"/>
  <c r="I339" i="2"/>
  <c r="I342" i="2"/>
  <c r="I343" i="2"/>
  <c r="I345" i="2"/>
  <c r="I346" i="2"/>
  <c r="I348" i="2"/>
  <c r="I349" i="2"/>
  <c r="I351" i="2"/>
  <c r="I352" i="2"/>
  <c r="I353" i="2"/>
  <c r="I355" i="2"/>
  <c r="I356" i="2"/>
  <c r="I357" i="2"/>
  <c r="I358" i="2"/>
  <c r="I359" i="2"/>
  <c r="I360" i="2"/>
  <c r="I361" i="2"/>
  <c r="I362" i="2"/>
  <c r="I363" i="2"/>
  <c r="I364" i="2"/>
  <c r="I365" i="2"/>
  <c r="I366" i="2"/>
  <c r="I367" i="2"/>
  <c r="I368" i="2"/>
  <c r="I369" i="2"/>
  <c r="I370" i="2"/>
  <c r="I371" i="2"/>
  <c r="I372" i="2"/>
  <c r="I373" i="2"/>
  <c r="I374" i="2"/>
  <c r="I375" i="2"/>
  <c r="I376" i="2"/>
  <c r="I378" i="2"/>
  <c r="I379" i="2"/>
  <c r="I380" i="2"/>
  <c r="I381" i="2"/>
  <c r="I382" i="2"/>
  <c r="I384" i="2"/>
  <c r="I385" i="2"/>
  <c r="I386" i="2"/>
  <c r="I387" i="2"/>
  <c r="I388" i="2"/>
  <c r="I389" i="2"/>
  <c r="I391" i="2"/>
  <c r="I392" i="2"/>
  <c r="I393" i="2"/>
  <c r="I394" i="2"/>
  <c r="I395" i="2"/>
  <c r="I397" i="2"/>
  <c r="I398" i="2"/>
  <c r="I399" i="2"/>
  <c r="I402" i="2"/>
  <c r="I403" i="2"/>
  <c r="I404" i="2"/>
  <c r="I406" i="2"/>
  <c r="I407" i="2"/>
  <c r="I409" i="2"/>
  <c r="I410" i="2"/>
  <c r="I411" i="2"/>
  <c r="I412" i="2"/>
  <c r="I414" i="2"/>
  <c r="I415" i="2"/>
  <c r="I416" i="2"/>
  <c r="I418" i="2"/>
  <c r="I419" i="2"/>
  <c r="I421" i="2"/>
  <c r="I422" i="2"/>
  <c r="I423" i="2"/>
  <c r="I426" i="2" s="1"/>
  <c r="I8" i="2"/>
  <c r="C2413" i="1"/>
  <c r="B2413" i="1"/>
  <c r="C2412" i="1"/>
  <c r="B2412" i="1"/>
  <c r="D2411" i="1"/>
  <c r="D2410" i="1"/>
  <c r="B2404" i="1"/>
  <c r="B2422" i="1"/>
  <c r="C2404" i="1"/>
  <c r="B2421" i="1"/>
  <c r="C2403" i="1"/>
  <c r="B2403" i="1"/>
  <c r="D2402" i="1"/>
  <c r="D2401" i="1"/>
  <c r="D2501" i="1"/>
  <c r="F2501" i="1" s="1"/>
  <c r="D2500" i="1"/>
  <c r="F2500" i="1" s="1"/>
  <c r="D2495" i="1"/>
  <c r="F2492" i="1" s="1"/>
  <c r="B2489" i="1"/>
  <c r="D2489" i="1" s="1"/>
  <c r="F2486" i="1" s="1"/>
  <c r="B2484" i="1"/>
  <c r="D2484" i="1" s="1"/>
  <c r="F2481" i="1" s="1"/>
  <c r="B2479" i="1"/>
  <c r="D2479" i="1" s="1"/>
  <c r="F2476" i="1" s="1"/>
  <c r="B2473" i="1"/>
  <c r="D2473" i="1" s="1"/>
  <c r="F2470" i="1" s="1"/>
  <c r="B2468" i="1"/>
  <c r="D2468" i="1" s="1"/>
  <c r="F2465" i="1" s="1"/>
  <c r="B2463" i="1"/>
  <c r="D2458" i="1"/>
  <c r="F2458" i="1" s="1"/>
  <c r="F2455" i="1" s="1"/>
  <c r="F2452" i="1"/>
  <c r="F2449" i="1" s="1"/>
  <c r="F2447" i="1"/>
  <c r="F2444" i="1" s="1"/>
  <c r="C2441" i="1"/>
  <c r="D2441" i="1" s="1"/>
  <c r="F2438" i="1" s="1"/>
  <c r="C2436" i="1"/>
  <c r="D2436" i="1" s="1"/>
  <c r="F2433" i="1" s="1"/>
  <c r="D2430" i="1"/>
  <c r="D2431" i="1" s="1"/>
  <c r="F2427" i="1" s="1"/>
  <c r="B2371" i="1"/>
  <c r="F2352" i="1" s="1"/>
  <c r="B2348" i="1"/>
  <c r="D2348" i="1" s="1"/>
  <c r="B2349" i="1"/>
  <c r="D2349" i="1" s="1"/>
  <c r="D2342" i="1"/>
  <c r="B2336" i="1"/>
  <c r="D2336" i="1" s="1"/>
  <c r="B2335" i="1"/>
  <c r="D2335" i="1" s="1"/>
  <c r="B2329" i="1"/>
  <c r="E2277" i="1"/>
  <c r="E2278" i="1" s="1"/>
  <c r="F2274" i="1" s="1"/>
  <c r="B2271" i="1"/>
  <c r="E2271" i="1" s="1"/>
  <c r="B2270" i="1"/>
  <c r="E2270" i="1" s="1"/>
  <c r="B2264" i="1"/>
  <c r="E2264" i="1" s="1"/>
  <c r="B2263" i="1"/>
  <c r="E2263" i="1" s="1"/>
  <c r="E2254" i="1"/>
  <c r="E2255" i="1" s="1"/>
  <c r="F2251" i="1" s="1"/>
  <c r="E2247" i="1"/>
  <c r="B2245" i="1"/>
  <c r="E2245" i="1" s="1"/>
  <c r="B2244" i="1"/>
  <c r="E2244" i="1" s="1"/>
  <c r="B2242" i="1"/>
  <c r="E2242" i="1" s="1"/>
  <c r="B2234" i="1"/>
  <c r="E2234" i="1" s="1"/>
  <c r="B2233" i="1"/>
  <c r="E2233" i="1" s="1"/>
  <c r="B2231" i="1"/>
  <c r="E2231" i="1" s="1"/>
  <c r="B2224" i="1"/>
  <c r="F2223" i="1"/>
  <c r="F2222" i="1"/>
  <c r="D2222" i="1"/>
  <c r="F2221" i="1"/>
  <c r="F2215" i="1"/>
  <c r="F2214" i="1"/>
  <c r="D2214" i="1"/>
  <c r="F2213" i="1"/>
  <c r="D2204" i="1"/>
  <c r="C2202" i="1"/>
  <c r="B2202" i="1"/>
  <c r="D2195" i="1"/>
  <c r="C2193" i="1"/>
  <c r="B2193" i="1"/>
  <c r="D2186" i="1"/>
  <c r="C2184" i="1"/>
  <c r="B2184" i="1"/>
  <c r="C2175" i="1"/>
  <c r="B2175" i="1"/>
  <c r="D2177" i="1"/>
  <c r="D2165" i="1"/>
  <c r="B2168" i="1"/>
  <c r="D2168" i="1" s="1"/>
  <c r="B2167" i="1"/>
  <c r="D2167" i="1" s="1"/>
  <c r="B2166" i="1"/>
  <c r="D2166" i="1" s="1"/>
  <c r="B2160" i="1"/>
  <c r="E2160" i="1" s="1"/>
  <c r="F2157" i="1" s="1"/>
  <c r="B2152" i="1"/>
  <c r="F2147" i="1" s="1"/>
  <c r="F2154" i="1"/>
  <c r="F2140" i="1"/>
  <c r="B2145" i="1"/>
  <c r="F2142" i="1" s="1"/>
  <c r="B2136" i="1"/>
  <c r="F2126" i="1" s="1"/>
  <c r="D2106" i="1"/>
  <c r="E2106" i="1" s="1"/>
  <c r="F2103" i="1" s="1"/>
  <c r="E2111" i="1"/>
  <c r="D2111" i="1"/>
  <c r="B2123" i="1"/>
  <c r="B2111" i="1" s="1"/>
  <c r="C2111" i="1" s="1"/>
  <c r="B2099" i="1"/>
  <c r="D2099" i="1" s="1"/>
  <c r="B2098" i="1"/>
  <c r="D2098" i="1" s="1"/>
  <c r="B2092" i="1"/>
  <c r="B2091" i="1"/>
  <c r="D2091" i="1" s="1"/>
  <c r="D2075" i="1"/>
  <c r="C2074" i="1"/>
  <c r="D2074" i="1" s="1"/>
  <c r="C2068" i="1"/>
  <c r="B2068" i="1"/>
  <c r="B2067" i="1"/>
  <c r="C2067" i="1"/>
  <c r="B2061" i="1"/>
  <c r="B2060" i="1"/>
  <c r="B2055" i="1"/>
  <c r="F2050" i="1" s="1"/>
  <c r="B2046" i="1"/>
  <c r="D2046" i="1" s="1"/>
  <c r="D2044" i="1"/>
  <c r="B2037" i="1"/>
  <c r="B2038" i="1" s="1"/>
  <c r="F2034" i="1" s="1"/>
  <c r="B2031" i="1"/>
  <c r="B2025" i="1"/>
  <c r="F2021" i="1" s="1"/>
  <c r="F2019" i="1"/>
  <c r="F2017" i="1"/>
  <c r="F2015" i="1"/>
  <c r="F2013" i="1"/>
  <c r="F2011" i="1"/>
  <c r="F2009" i="1"/>
  <c r="B2006" i="1"/>
  <c r="F2002" i="1" s="1"/>
  <c r="F1999" i="1"/>
  <c r="F2000" i="1" s="1"/>
  <c r="B1993" i="1"/>
  <c r="B1994" i="1" s="1"/>
  <c r="F1990" i="1" s="1"/>
  <c r="B1987" i="1"/>
  <c r="B1986" i="1"/>
  <c r="B1985" i="1"/>
  <c r="B1980" i="1"/>
  <c r="F1975" i="1" s="1"/>
  <c r="E1970" i="1"/>
  <c r="E1971" i="1" s="1"/>
  <c r="F1967" i="1" s="1"/>
  <c r="F1963" i="1"/>
  <c r="F1964" i="1" s="1"/>
  <c r="F1960" i="1" s="1"/>
  <c r="F1958" i="1"/>
  <c r="F1956" i="1"/>
  <c r="E1953" i="1"/>
  <c r="E1954" i="1" s="1"/>
  <c r="F1950" i="1" s="1"/>
  <c r="B1946" i="1"/>
  <c r="F1942" i="1" s="1"/>
  <c r="B1939" i="1"/>
  <c r="B1940" i="1" s="1"/>
  <c r="D1933" i="1"/>
  <c r="E1933" i="1" s="1"/>
  <c r="D1932" i="1"/>
  <c r="E1932" i="1" s="1"/>
  <c r="D1926" i="1"/>
  <c r="D1927" i="1" s="1"/>
  <c r="F1923" i="1" s="1"/>
  <c r="E1919" i="1"/>
  <c r="E1918" i="1"/>
  <c r="D1920" i="1"/>
  <c r="E1920" i="1" s="1"/>
  <c r="F1910" i="1"/>
  <c r="D1906" i="1"/>
  <c r="D1908" i="1" s="1"/>
  <c r="E1906" i="1" s="1"/>
  <c r="F1903" i="1" s="1"/>
  <c r="B1900" i="1"/>
  <c r="B1901" i="1" s="1"/>
  <c r="F1896" i="1" s="1"/>
  <c r="B1893" i="1"/>
  <c r="B1892" i="1"/>
  <c r="B1891" i="1"/>
  <c r="B1885" i="1"/>
  <c r="B1884" i="1"/>
  <c r="B1883" i="1"/>
  <c r="B1882" i="1"/>
  <c r="D1874" i="1"/>
  <c r="E1874" i="1" s="1"/>
  <c r="F1871" i="1" s="1"/>
  <c r="D1869" i="1"/>
  <c r="E1869" i="1" s="1"/>
  <c r="F1866" i="1" s="1"/>
  <c r="B1803" i="1"/>
  <c r="D1803" i="1" s="1"/>
  <c r="D1863" i="1"/>
  <c r="B1862" i="1"/>
  <c r="D1862" i="1" s="1"/>
  <c r="D1864" i="1" s="1"/>
  <c r="B1854" i="1"/>
  <c r="B1853" i="1"/>
  <c r="D1848" i="1"/>
  <c r="F1844" i="1" s="1"/>
  <c r="B1841" i="1"/>
  <c r="B1840" i="1"/>
  <c r="B1839" i="1"/>
  <c r="B1838" i="1"/>
  <c r="B1837" i="1"/>
  <c r="B1836" i="1"/>
  <c r="B1828" i="1"/>
  <c r="B1831" i="1" s="1"/>
  <c r="F1825" i="1" s="1"/>
  <c r="B1822" i="1"/>
  <c r="B1816" i="1"/>
  <c r="B1815" i="1"/>
  <c r="B1814" i="1"/>
  <c r="B1813" i="1"/>
  <c r="B1812" i="1"/>
  <c r="B1811" i="1"/>
  <c r="B1810" i="1"/>
  <c r="B1809" i="1"/>
  <c r="D1802" i="1"/>
  <c r="D1801" i="1"/>
  <c r="B1799" i="1"/>
  <c r="D1799" i="1" s="1"/>
  <c r="B1776" i="1"/>
  <c r="B1794" i="1" s="1"/>
  <c r="F1773" i="1" s="1"/>
  <c r="E1759" i="1"/>
  <c r="F1756" i="1" s="1"/>
  <c r="E1754" i="1"/>
  <c r="F1751" i="1" s="1"/>
  <c r="B1747" i="1"/>
  <c r="F1747" i="1" s="1"/>
  <c r="D1746" i="1"/>
  <c r="B1746" i="1"/>
  <c r="B1740" i="1"/>
  <c r="F1740" i="1" s="1"/>
  <c r="D1739" i="1"/>
  <c r="B1739" i="1"/>
  <c r="B1733" i="1"/>
  <c r="F1733" i="1" s="1"/>
  <c r="D1732" i="1"/>
  <c r="B1732" i="1"/>
  <c r="F1723" i="1"/>
  <c r="B1719" i="1"/>
  <c r="F1719" i="1" s="1"/>
  <c r="D1718" i="1"/>
  <c r="B1718" i="1"/>
  <c r="B1712" i="1"/>
  <c r="F1712" i="1" s="1"/>
  <c r="D1711" i="1"/>
  <c r="B1711" i="1"/>
  <c r="B1705" i="1"/>
  <c r="D1705" i="1" s="1"/>
  <c r="F1702" i="1" s="1"/>
  <c r="F1697" i="1"/>
  <c r="F1692" i="1"/>
  <c r="B1688" i="1"/>
  <c r="E1688" i="1" s="1"/>
  <c r="F1685" i="1" s="1"/>
  <c r="B1683" i="1"/>
  <c r="F1680" i="1" s="1"/>
  <c r="B1677" i="1"/>
  <c r="B1678" i="1" s="1"/>
  <c r="F1674" i="1" s="1"/>
  <c r="B1671" i="1"/>
  <c r="B1672" i="1" s="1"/>
  <c r="F1668" i="1" s="1"/>
  <c r="B1666" i="1"/>
  <c r="F1663" i="1" s="1"/>
  <c r="E1190" i="1"/>
  <c r="F1180" i="1"/>
  <c r="B1251" i="1"/>
  <c r="B1660" i="1"/>
  <c r="F1657" i="1" s="1"/>
  <c r="D1654" i="1"/>
  <c r="F1654" i="1" s="1"/>
  <c r="F1655" i="1" s="1"/>
  <c r="F1651" i="1" s="1"/>
  <c r="D1648" i="1"/>
  <c r="F1648" i="1" s="1"/>
  <c r="D1647" i="1"/>
  <c r="F1647" i="1" s="1"/>
  <c r="D1642" i="1"/>
  <c r="B1642" i="1"/>
  <c r="F1636" i="1"/>
  <c r="F1632" i="1"/>
  <c r="F1634" i="1" s="1"/>
  <c r="F1630" i="1"/>
  <c r="F1628" i="1"/>
  <c r="F1624" i="1"/>
  <c r="F1623" i="1"/>
  <c r="F1622" i="1"/>
  <c r="F1621" i="1"/>
  <c r="F1620" i="1"/>
  <c r="F1619" i="1"/>
  <c r="F1618" i="1"/>
  <c r="F1611" i="1"/>
  <c r="F1613" i="1" s="1"/>
  <c r="F1609" i="1"/>
  <c r="F1607" i="1"/>
  <c r="F1605" i="1"/>
  <c r="F1601" i="1"/>
  <c r="E1596" i="1"/>
  <c r="E1595" i="1"/>
  <c r="E1594" i="1"/>
  <c r="E1593" i="1"/>
  <c r="E1592" i="1"/>
  <c r="E1591" i="1"/>
  <c r="E1590" i="1"/>
  <c r="E1587" i="1"/>
  <c r="E1586" i="1"/>
  <c r="E1585" i="1"/>
  <c r="E1584" i="1"/>
  <c r="E1583" i="1"/>
  <c r="E1582" i="1"/>
  <c r="E1581" i="1"/>
  <c r="E1580" i="1"/>
  <c r="E1579" i="1"/>
  <c r="E1578" i="1"/>
  <c r="E1577" i="1"/>
  <c r="E1576" i="1"/>
  <c r="E1575" i="1"/>
  <c r="E1574" i="1"/>
  <c r="E1573" i="1"/>
  <c r="E1572" i="1"/>
  <c r="E1571" i="1"/>
  <c r="E1563" i="1"/>
  <c r="E1562" i="1"/>
  <c r="E1561" i="1"/>
  <c r="E1560" i="1"/>
  <c r="E1559" i="1"/>
  <c r="E1558" i="1"/>
  <c r="E1557" i="1"/>
  <c r="E1554" i="1"/>
  <c r="E1553" i="1"/>
  <c r="E1552" i="1"/>
  <c r="E1551" i="1"/>
  <c r="E1550" i="1"/>
  <c r="E1549" i="1"/>
  <c r="E1548" i="1"/>
  <c r="E1547" i="1"/>
  <c r="E1546" i="1"/>
  <c r="E1545" i="1"/>
  <c r="E1544" i="1"/>
  <c r="E1543" i="1"/>
  <c r="E1542" i="1"/>
  <c r="E1541" i="1"/>
  <c r="E1540" i="1"/>
  <c r="E1539" i="1"/>
  <c r="E1538" i="1"/>
  <c r="F1530" i="1"/>
  <c r="C1529" i="1"/>
  <c r="F1529" i="1" s="1"/>
  <c r="C1528" i="1"/>
  <c r="F1528" i="1" s="1"/>
  <c r="C1527" i="1"/>
  <c r="F1527" i="1" s="1"/>
  <c r="F1526" i="1"/>
  <c r="F1525" i="1"/>
  <c r="F1524" i="1"/>
  <c r="F1521" i="1"/>
  <c r="F1520" i="1"/>
  <c r="F1519" i="1"/>
  <c r="F1518" i="1"/>
  <c r="F1517" i="1"/>
  <c r="F1516" i="1"/>
  <c r="F1515" i="1"/>
  <c r="F1514" i="1"/>
  <c r="F1513" i="1"/>
  <c r="F1512" i="1"/>
  <c r="F1511" i="1"/>
  <c r="F1510" i="1"/>
  <c r="F1509" i="1"/>
  <c r="F1508" i="1"/>
  <c r="F1507" i="1"/>
  <c r="F1506" i="1"/>
  <c r="F1505" i="1"/>
  <c r="C1496" i="1"/>
  <c r="F1496" i="1" s="1"/>
  <c r="C1495" i="1"/>
  <c r="F1495" i="1" s="1"/>
  <c r="C1494" i="1"/>
  <c r="F1494" i="1" s="1"/>
  <c r="F1488" i="1"/>
  <c r="F1487" i="1"/>
  <c r="F1486" i="1"/>
  <c r="F1485" i="1"/>
  <c r="F1497" i="1"/>
  <c r="F1492" i="1"/>
  <c r="F1491" i="1"/>
  <c r="F1484" i="1"/>
  <c r="F1483" i="1"/>
  <c r="F1482" i="1"/>
  <c r="F1481" i="1"/>
  <c r="F1480" i="1"/>
  <c r="F1479" i="1"/>
  <c r="F1478" i="1"/>
  <c r="F1477" i="1"/>
  <c r="F1476" i="1"/>
  <c r="F1475" i="1"/>
  <c r="F1474" i="1"/>
  <c r="F1473" i="1"/>
  <c r="F1472" i="1"/>
  <c r="I54" i="2" l="1"/>
  <c r="I405" i="2"/>
  <c r="I347" i="2"/>
  <c r="I341" i="2"/>
  <c r="I317" i="2"/>
  <c r="I306" i="2"/>
  <c r="I248" i="2"/>
  <c r="I158" i="2"/>
  <c r="I147" i="2"/>
  <c r="I49" i="2"/>
  <c r="I7" i="2"/>
  <c r="I413" i="2"/>
  <c r="I408" i="2"/>
  <c r="I396" i="2"/>
  <c r="I383" i="2"/>
  <c r="I377" i="2"/>
  <c r="I332" i="2"/>
  <c r="I292" i="2"/>
  <c r="I284" i="2"/>
  <c r="I239" i="2"/>
  <c r="I235" i="2"/>
  <c r="I234" i="2" s="1"/>
  <c r="I217" i="2"/>
  <c r="I161" i="2"/>
  <c r="I130" i="2"/>
  <c r="I122" i="2"/>
  <c r="D1053" i="1"/>
  <c r="F1019" i="1" s="1"/>
  <c r="F2502" i="1"/>
  <c r="D2413" i="1"/>
  <c r="AF21" i="6"/>
  <c r="P35" i="6"/>
  <c r="AF25" i="6"/>
  <c r="I251" i="2"/>
  <c r="I417" i="2"/>
  <c r="I401" i="2"/>
  <c r="I390" i="2"/>
  <c r="I350" i="2"/>
  <c r="I344" i="2"/>
  <c r="I340" i="2" s="1"/>
  <c r="I327" i="2"/>
  <c r="I320" i="2"/>
  <c r="I309" i="2"/>
  <c r="I261" i="2"/>
  <c r="I228" i="2"/>
  <c r="I223" i="2"/>
  <c r="I150" i="2"/>
  <c r="I66" i="2"/>
  <c r="I61" i="2"/>
  <c r="I12" i="2"/>
  <c r="I176" i="2"/>
  <c r="I73" i="2"/>
  <c r="I19" i="2"/>
  <c r="I354" i="2"/>
  <c r="I298" i="2"/>
  <c r="I244" i="2"/>
  <c r="I204" i="2"/>
  <c r="I165" i="2"/>
  <c r="I154" i="2"/>
  <c r="I110" i="2"/>
  <c r="I100" i="2"/>
  <c r="I91" i="2"/>
  <c r="I40" i="2"/>
  <c r="I335" i="2"/>
  <c r="I137" i="2"/>
  <c r="I34" i="2"/>
  <c r="I33" i="2"/>
  <c r="I291" i="2"/>
  <c r="I283" i="2"/>
  <c r="I420" i="2"/>
  <c r="B2423" i="1"/>
  <c r="F2416" i="1" s="1"/>
  <c r="D2412" i="1"/>
  <c r="D2414" i="1" s="1"/>
  <c r="F2407" i="1" s="1"/>
  <c r="D2404" i="1"/>
  <c r="D2403" i="1"/>
  <c r="D2463" i="1"/>
  <c r="F2460" i="1" s="1"/>
  <c r="D2337" i="1"/>
  <c r="F2332" i="1" s="1"/>
  <c r="D2350" i="1"/>
  <c r="F2345" i="1" s="1"/>
  <c r="D2343" i="1"/>
  <c r="F2339" i="1" s="1"/>
  <c r="E2329" i="1"/>
  <c r="E2330" i="1" s="1"/>
  <c r="F2326" i="1" s="1"/>
  <c r="E2272" i="1"/>
  <c r="F2267" i="1" s="1"/>
  <c r="E2265" i="1"/>
  <c r="F2260" i="1" s="1"/>
  <c r="E2248" i="1"/>
  <c r="F2239" i="1" s="1"/>
  <c r="E2224" i="1"/>
  <c r="F2216" i="1"/>
  <c r="F2210" i="1" s="1"/>
  <c r="D2193" i="1"/>
  <c r="D2197" i="1" s="1"/>
  <c r="F2190" i="1" s="1"/>
  <c r="D2175" i="1"/>
  <c r="D2179" i="1" s="1"/>
  <c r="F2172" i="1" s="1"/>
  <c r="D2202" i="1"/>
  <c r="D2206" i="1" s="1"/>
  <c r="F2199" i="1" s="1"/>
  <c r="D2184" i="1"/>
  <c r="D2188" i="1" s="1"/>
  <c r="F2181" i="1" s="1"/>
  <c r="D2169" i="1"/>
  <c r="F2162" i="1" s="1"/>
  <c r="F2111" i="1"/>
  <c r="F2108" i="1" s="1"/>
  <c r="F2113" i="1"/>
  <c r="D2077" i="1"/>
  <c r="F2071" i="1" s="1"/>
  <c r="D2100" i="1"/>
  <c r="F2095" i="1" s="1"/>
  <c r="D2092" i="1"/>
  <c r="D2093" i="1" s="1"/>
  <c r="F2088" i="1" s="1"/>
  <c r="D2068" i="1"/>
  <c r="B2083" i="1" s="1"/>
  <c r="D2083" i="1" s="1"/>
  <c r="D2067" i="1"/>
  <c r="B2062" i="1"/>
  <c r="F2057" i="1" s="1"/>
  <c r="D2048" i="1"/>
  <c r="F2041" i="1" s="1"/>
  <c r="B2032" i="1"/>
  <c r="F2028" i="1" s="1"/>
  <c r="F1996" i="1"/>
  <c r="B1988" i="1"/>
  <c r="F1982" i="1" s="1"/>
  <c r="F1936" i="1"/>
  <c r="E1934" i="1"/>
  <c r="F1929" i="1" s="1"/>
  <c r="E1921" i="1"/>
  <c r="F1915" i="1" s="1"/>
  <c r="B1894" i="1"/>
  <c r="F1888" i="1" s="1"/>
  <c r="B1886" i="1"/>
  <c r="F1879" i="1" s="1"/>
  <c r="B1857" i="1"/>
  <c r="F1850" i="1" s="1"/>
  <c r="D1804" i="1"/>
  <c r="F1796" i="1" s="1"/>
  <c r="B1842" i="1"/>
  <c r="F1833" i="1" s="1"/>
  <c r="D1822" i="1"/>
  <c r="D1823" i="1" s="1"/>
  <c r="F1819" i="1" s="1"/>
  <c r="B1817" i="1"/>
  <c r="F1806" i="1" s="1"/>
  <c r="F1732" i="1"/>
  <c r="F1734" i="1" s="1"/>
  <c r="F1729" i="1" s="1"/>
  <c r="F1739" i="1"/>
  <c r="F1741" i="1" s="1"/>
  <c r="F1736" i="1" s="1"/>
  <c r="F1746" i="1"/>
  <c r="F1748" i="1" s="1"/>
  <c r="F1743" i="1" s="1"/>
  <c r="F1718" i="1"/>
  <c r="F1720" i="1" s="1"/>
  <c r="F1715" i="1" s="1"/>
  <c r="F1711" i="1"/>
  <c r="F1713" i="1" s="1"/>
  <c r="F1708" i="1" s="1"/>
  <c r="F1649" i="1"/>
  <c r="F1644" i="1" s="1"/>
  <c r="E1642" i="1"/>
  <c r="F1642" i="1" s="1"/>
  <c r="F1639" i="1" s="1"/>
  <c r="F1625" i="1"/>
  <c r="F1615" i="1" s="1"/>
  <c r="E1597" i="1"/>
  <c r="E1588" i="1"/>
  <c r="E1564" i="1"/>
  <c r="E1555" i="1"/>
  <c r="F1522" i="1"/>
  <c r="F1531" i="1"/>
  <c r="F1489" i="1"/>
  <c r="F1493" i="1"/>
  <c r="F1498" i="1" s="1"/>
  <c r="I316" i="2" l="1"/>
  <c r="I146" i="2"/>
  <c r="I109" i="2" s="1"/>
  <c r="I326" i="2"/>
  <c r="I400" i="2"/>
  <c r="I18" i="2"/>
  <c r="I260" i="2"/>
  <c r="I203" i="2"/>
  <c r="D2405" i="1"/>
  <c r="F2398" i="1" s="1"/>
  <c r="F2224" i="1"/>
  <c r="F2225" i="1" s="1"/>
  <c r="F2218" i="1" s="1"/>
  <c r="B2236" i="1"/>
  <c r="E2236" i="1" s="1"/>
  <c r="E2237" i="1" s="1"/>
  <c r="F2228" i="1" s="1"/>
  <c r="D2069" i="1"/>
  <c r="F2064" i="1" s="1"/>
  <c r="B2082" i="1"/>
  <c r="D2082" i="1" s="1"/>
  <c r="D2084" i="1" s="1"/>
  <c r="F2079" i="1" s="1"/>
  <c r="E1599" i="1"/>
  <c r="F1568" i="1" s="1"/>
  <c r="E1566" i="1"/>
  <c r="F1535" i="1" s="1"/>
  <c r="F1533" i="1"/>
  <c r="F1502" i="1" s="1"/>
  <c r="F1500" i="1"/>
  <c r="F1469" i="1" s="1"/>
  <c r="H428" i="2" l="1"/>
  <c r="I427" i="2" s="1"/>
  <c r="H425" i="2" s="1"/>
  <c r="F1437" i="1"/>
  <c r="F1435" i="1"/>
  <c r="F1433" i="1"/>
  <c r="F1429" i="1"/>
  <c r="F1425" i="1"/>
  <c r="F1422" i="1"/>
  <c r="B1421" i="1"/>
  <c r="F1421" i="1" s="1"/>
  <c r="F1415" i="1"/>
  <c r="B1414" i="1"/>
  <c r="F1414" i="1" s="1"/>
  <c r="B1407" i="1"/>
  <c r="F1408" i="1"/>
  <c r="B1401" i="1"/>
  <c r="F1398" i="1" s="1"/>
  <c r="C1394" i="1"/>
  <c r="C1396" i="1"/>
  <c r="C1395" i="1"/>
  <c r="D1388" i="1"/>
  <c r="D1389" i="1" s="1"/>
  <c r="F1385" i="1" s="1"/>
  <c r="E1381" i="1"/>
  <c r="F1381" i="1" s="1"/>
  <c r="E1380" i="1"/>
  <c r="F1380" i="1" s="1"/>
  <c r="D1380" i="1"/>
  <c r="E1379" i="1"/>
  <c r="F1379" i="1" s="1"/>
  <c r="E1378" i="1"/>
  <c r="F1378" i="1" s="1"/>
  <c r="E1369" i="1"/>
  <c r="F1369" i="1" s="1"/>
  <c r="E1372" i="1"/>
  <c r="F1372" i="1" s="1"/>
  <c r="E1371" i="1"/>
  <c r="F1371" i="1" s="1"/>
  <c r="E1370" i="1"/>
  <c r="F1370" i="1" s="1"/>
  <c r="D1371" i="1"/>
  <c r="D1362" i="1"/>
  <c r="D1361" i="1"/>
  <c r="D1360" i="1"/>
  <c r="D1359" i="1"/>
  <c r="D1353" i="1"/>
  <c r="D1352" i="1"/>
  <c r="D1351" i="1"/>
  <c r="D1350" i="1"/>
  <c r="D1344" i="1"/>
  <c r="D1343" i="1"/>
  <c r="D1342" i="1"/>
  <c r="D1341" i="1"/>
  <c r="D1333" i="1"/>
  <c r="D1332" i="1"/>
  <c r="D1326" i="1"/>
  <c r="B1325" i="1"/>
  <c r="D1325" i="1" s="1"/>
  <c r="E1312" i="1"/>
  <c r="E1311" i="1"/>
  <c r="E1310" i="1"/>
  <c r="E1309" i="1"/>
  <c r="B1317" i="1"/>
  <c r="D1301" i="1"/>
  <c r="D1293" i="1"/>
  <c r="B1300" i="1" s="1"/>
  <c r="D1300" i="1" s="1"/>
  <c r="B1287" i="1"/>
  <c r="B1288" i="1" s="1"/>
  <c r="F1284" i="1" s="1"/>
  <c r="B1280" i="1"/>
  <c r="B1282" i="1" s="1"/>
  <c r="F1277" i="1" s="1"/>
  <c r="B1274" i="1"/>
  <c r="B1273" i="1"/>
  <c r="B1266" i="1"/>
  <c r="B1265" i="1"/>
  <c r="B1264" i="1"/>
  <c r="B1250" i="1"/>
  <c r="B1249" i="1"/>
  <c r="B1259" i="1"/>
  <c r="F1254" i="1" s="1"/>
  <c r="B1235" i="1"/>
  <c r="B1236" i="1" s="1"/>
  <c r="F1227" i="1" s="1"/>
  <c r="C1243" i="1"/>
  <c r="E1243" i="1" s="1"/>
  <c r="C1242" i="1"/>
  <c r="E1242" i="1" s="1"/>
  <c r="F1221" i="1"/>
  <c r="B1225" i="1"/>
  <c r="B1217" i="1"/>
  <c r="B1219" i="1" s="1"/>
  <c r="F1214" i="1" s="1"/>
  <c r="E1211" i="1"/>
  <c r="E1212" i="1" s="1"/>
  <c r="F1208" i="1" s="1"/>
  <c r="F1204" i="1"/>
  <c r="F1203" i="1"/>
  <c r="F1197" i="1"/>
  <c r="F1196" i="1"/>
  <c r="E1189" i="1"/>
  <c r="E1188" i="1"/>
  <c r="E1187" i="1"/>
  <c r="F1182" i="1"/>
  <c r="E1177" i="1"/>
  <c r="E1176" i="1"/>
  <c r="F1170" i="1"/>
  <c r="F1169" i="1"/>
  <c r="B1252" i="1" l="1"/>
  <c r="F1246" i="1" s="1"/>
  <c r="E1191" i="1"/>
  <c r="F1184" i="1" s="1"/>
  <c r="F1423" i="1"/>
  <c r="F1418" i="1" s="1"/>
  <c r="F1416" i="1"/>
  <c r="F1411" i="1" s="1"/>
  <c r="F1407" i="1"/>
  <c r="F1409" i="1" s="1"/>
  <c r="F1404" i="1" s="1"/>
  <c r="D1394" i="1"/>
  <c r="F1391" i="1" s="1"/>
  <c r="F1373" i="1"/>
  <c r="F1366" i="1" s="1"/>
  <c r="F1382" i="1"/>
  <c r="F1375" i="1" s="1"/>
  <c r="D1363" i="1"/>
  <c r="F1356" i="1" s="1"/>
  <c r="D1354" i="1"/>
  <c r="F1347" i="1" s="1"/>
  <c r="D1334" i="1"/>
  <c r="F1329" i="1" s="1"/>
  <c r="D1345" i="1"/>
  <c r="F1338" i="1" s="1"/>
  <c r="D1327" i="1"/>
  <c r="F1322" i="1" s="1"/>
  <c r="F1309" i="1"/>
  <c r="F1306" i="1" s="1"/>
  <c r="D1295" i="1"/>
  <c r="F1290" i="1" s="1"/>
  <c r="D1302" i="1"/>
  <c r="F1297" i="1" s="1"/>
  <c r="B1275" i="1"/>
  <c r="F1270" i="1" s="1"/>
  <c r="B1268" i="1"/>
  <c r="F1261" i="1" s="1"/>
  <c r="F1242" i="1"/>
  <c r="F1239" i="1" s="1"/>
  <c r="F1198" i="1"/>
  <c r="F1193" i="1" s="1"/>
  <c r="F1205" i="1"/>
  <c r="F1200" i="1" s="1"/>
  <c r="E1178" i="1"/>
  <c r="F1173" i="1" s="1"/>
  <c r="F1171" i="1"/>
  <c r="F1166" i="1" s="1"/>
  <c r="D1162" i="1" l="1"/>
  <c r="C1161" i="1"/>
  <c r="D1161" i="1" s="1"/>
  <c r="E1156" i="1"/>
  <c r="E1155" i="1"/>
  <c r="E1154" i="1"/>
  <c r="E1153" i="1"/>
  <c r="C1152" i="1"/>
  <c r="E1152" i="1" s="1"/>
  <c r="E1147" i="1"/>
  <c r="C1143" i="1"/>
  <c r="E1146" i="1"/>
  <c r="E1145" i="1"/>
  <c r="E1144" i="1"/>
  <c r="E1143" i="1"/>
  <c r="C1135" i="1"/>
  <c r="E1135" i="1" s="1"/>
  <c r="E1138" i="1"/>
  <c r="E1137" i="1"/>
  <c r="E1136" i="1"/>
  <c r="B1130" i="1"/>
  <c r="D1130" i="1" s="1"/>
  <c r="F1127" i="1" s="1"/>
  <c r="C1125" i="1"/>
  <c r="C1124" i="1"/>
  <c r="C1123" i="1"/>
  <c r="B1113" i="1"/>
  <c r="E1113" i="1"/>
  <c r="F1110" i="1" s="1"/>
  <c r="B1108" i="1"/>
  <c r="B1107" i="1"/>
  <c r="B1106" i="1"/>
  <c r="C1118" i="1" s="1"/>
  <c r="E1118" i="1" s="1"/>
  <c r="F1118" i="1" s="1"/>
  <c r="F1115" i="1" s="1"/>
  <c r="B1105" i="1"/>
  <c r="E1105" i="1" s="1"/>
  <c r="E1108" i="1"/>
  <c r="E1107" i="1"/>
  <c r="E1106" i="1"/>
  <c r="B1099" i="1"/>
  <c r="F1099" i="1" s="1"/>
  <c r="F1097" i="1"/>
  <c r="E1096" i="1"/>
  <c r="F1096" i="1" s="1"/>
  <c r="E1089" i="1"/>
  <c r="E1090" i="1"/>
  <c r="E1091" i="1"/>
  <c r="E1088" i="1"/>
  <c r="D1000" i="1"/>
  <c r="D992" i="1"/>
  <c r="D977" i="1"/>
  <c r="D983" i="1"/>
  <c r="D968" i="1"/>
  <c r="D962" i="1"/>
  <c r="D954" i="1"/>
  <c r="D950" i="1"/>
  <c r="D941" i="1"/>
  <c r="F879" i="1"/>
  <c r="F878" i="1"/>
  <c r="F877" i="1"/>
  <c r="F876" i="1"/>
  <c r="D935" i="1"/>
  <c r="D924" i="1"/>
  <c r="D916" i="1"/>
  <c r="F907" i="1"/>
  <c r="F906" i="1"/>
  <c r="F905" i="1"/>
  <c r="F904" i="1"/>
  <c r="F903" i="1"/>
  <c r="F899" i="1"/>
  <c r="F898" i="1"/>
  <c r="F897" i="1"/>
  <c r="F896" i="1"/>
  <c r="F895" i="1"/>
  <c r="F894" i="1"/>
  <c r="F886" i="1"/>
  <c r="F885" i="1"/>
  <c r="F884" i="1"/>
  <c r="F883" i="1"/>
  <c r="C868" i="1"/>
  <c r="F868" i="1" s="1"/>
  <c r="C867" i="1"/>
  <c r="F867" i="1" s="1"/>
  <c r="C863" i="1"/>
  <c r="F863" i="1" s="1"/>
  <c r="C862" i="1"/>
  <c r="F862" i="1" s="1"/>
  <c r="D848" i="1"/>
  <c r="D837" i="1"/>
  <c r="D817" i="1"/>
  <c r="D821" i="1"/>
  <c r="D809" i="1"/>
  <c r="D804" i="1"/>
  <c r="C829" i="1"/>
  <c r="D829" i="1" s="1"/>
  <c r="D831" i="1" s="1"/>
  <c r="D792" i="1"/>
  <c r="D797" i="1"/>
  <c r="D782" i="1"/>
  <c r="D768" i="1"/>
  <c r="D758" i="1"/>
  <c r="E748" i="1"/>
  <c r="F748" i="1" s="1"/>
  <c r="E747" i="1"/>
  <c r="F747" i="1" s="1"/>
  <c r="E746" i="1"/>
  <c r="F746" i="1" s="1"/>
  <c r="E745" i="1"/>
  <c r="F745" i="1" s="1"/>
  <c r="E743" i="1"/>
  <c r="E742" i="1"/>
  <c r="E741" i="1"/>
  <c r="E740" i="1"/>
  <c r="E739" i="1"/>
  <c r="E738" i="1"/>
  <c r="E737" i="1"/>
  <c r="E736" i="1"/>
  <c r="E732" i="1"/>
  <c r="F732" i="1" s="1"/>
  <c r="E731" i="1"/>
  <c r="F731" i="1" s="1"/>
  <c r="E730" i="1"/>
  <c r="F730" i="1" s="1"/>
  <c r="E729" i="1"/>
  <c r="F729" i="1" s="1"/>
  <c r="E728" i="1"/>
  <c r="E727" i="1"/>
  <c r="C728" i="1"/>
  <c r="C727" i="1"/>
  <c r="E720" i="1"/>
  <c r="E721" i="1"/>
  <c r="E722" i="1"/>
  <c r="E723" i="1"/>
  <c r="E724" i="1"/>
  <c r="E725" i="1"/>
  <c r="E726" i="1"/>
  <c r="E719" i="1"/>
  <c r="E744" i="1"/>
  <c r="C744" i="1"/>
  <c r="C743" i="1"/>
  <c r="C742" i="1"/>
  <c r="C741" i="1"/>
  <c r="C740" i="1"/>
  <c r="C739" i="1"/>
  <c r="C738" i="1"/>
  <c r="C737" i="1"/>
  <c r="C736" i="1"/>
  <c r="C726" i="1"/>
  <c r="C725" i="1"/>
  <c r="C724" i="1"/>
  <c r="C723" i="1"/>
  <c r="C722" i="1"/>
  <c r="C721" i="1"/>
  <c r="C720" i="1"/>
  <c r="C719" i="1"/>
  <c r="E399" i="1"/>
  <c r="C399" i="1"/>
  <c r="C712" i="1"/>
  <c r="E712" i="1" s="1"/>
  <c r="F712" i="1" s="1"/>
  <c r="C709" i="1"/>
  <c r="E709" i="1" s="1"/>
  <c r="F709" i="1" s="1"/>
  <c r="C702" i="1"/>
  <c r="E702" i="1" s="1"/>
  <c r="F702" i="1" s="1"/>
  <c r="C699" i="1"/>
  <c r="E699" i="1" s="1"/>
  <c r="F699" i="1" s="1"/>
  <c r="E485" i="1"/>
  <c r="E475" i="1"/>
  <c r="E474" i="1"/>
  <c r="E473" i="1"/>
  <c r="F674" i="1"/>
  <c r="E670" i="1"/>
  <c r="E660" i="1"/>
  <c r="E659" i="1"/>
  <c r="E658" i="1"/>
  <c r="E609" i="1"/>
  <c r="E599" i="1"/>
  <c r="E598" i="1"/>
  <c r="E597" i="1"/>
  <c r="E509" i="1"/>
  <c r="E498" i="1"/>
  <c r="C643" i="1"/>
  <c r="C639" i="1"/>
  <c r="C638" i="1"/>
  <c r="F613" i="1"/>
  <c r="F574" i="1"/>
  <c r="E580" i="1"/>
  <c r="C583" i="1"/>
  <c r="C584" i="1" s="1"/>
  <c r="E584" i="1" s="1"/>
  <c r="C582" i="1"/>
  <c r="E582" i="1" s="1"/>
  <c r="C581" i="1"/>
  <c r="E581" i="1" s="1"/>
  <c r="F559" i="1"/>
  <c r="E567" i="1"/>
  <c r="E568" i="1"/>
  <c r="E569" i="1"/>
  <c r="E570" i="1"/>
  <c r="E566" i="1"/>
  <c r="C571" i="1"/>
  <c r="E571" i="1" s="1"/>
  <c r="F513" i="1"/>
  <c r="E499" i="1"/>
  <c r="E497" i="1"/>
  <c r="E80" i="1"/>
  <c r="F537" i="1"/>
  <c r="F534" i="1" s="1"/>
  <c r="C458" i="1"/>
  <c r="C457" i="1"/>
  <c r="C456" i="1"/>
  <c r="C455" i="1"/>
  <c r="C454" i="1"/>
  <c r="C453" i="1"/>
  <c r="C452" i="1"/>
  <c r="C451" i="1"/>
  <c r="C450" i="1"/>
  <c r="C446" i="1"/>
  <c r="C445" i="1"/>
  <c r="C444" i="1"/>
  <c r="C443" i="1"/>
  <c r="C442" i="1"/>
  <c r="C441" i="1"/>
  <c r="C440" i="1"/>
  <c r="E428" i="1"/>
  <c r="F428" i="1" s="1"/>
  <c r="E430" i="1"/>
  <c r="E429" i="1"/>
  <c r="E432" i="1"/>
  <c r="E431" i="1"/>
  <c r="C431" i="1"/>
  <c r="C432" i="1" s="1"/>
  <c r="C430" i="1"/>
  <c r="C429" i="1"/>
  <c r="E424" i="1"/>
  <c r="E423" i="1"/>
  <c r="F423" i="1" s="1"/>
  <c r="E422" i="1"/>
  <c r="F422" i="1" s="1"/>
  <c r="E421" i="1"/>
  <c r="F421" i="1" s="1"/>
  <c r="C424" i="1"/>
  <c r="F424" i="1" s="1"/>
  <c r="E420" i="1"/>
  <c r="F420" i="1" s="1"/>
  <c r="E419" i="1"/>
  <c r="C411" i="1"/>
  <c r="E410" i="1"/>
  <c r="C410" i="1"/>
  <c r="E409" i="1"/>
  <c r="C409" i="1"/>
  <c r="E398" i="1"/>
  <c r="C398" i="1"/>
  <c r="C408" i="1"/>
  <c r="C407" i="1"/>
  <c r="C406" i="1"/>
  <c r="E405" i="1"/>
  <c r="E406" i="1"/>
  <c r="E407" i="1"/>
  <c r="E408" i="1"/>
  <c r="E411" i="1"/>
  <c r="C405" i="1"/>
  <c r="E404" i="1"/>
  <c r="C404" i="1"/>
  <c r="E403" i="1"/>
  <c r="C403" i="1"/>
  <c r="E392" i="1"/>
  <c r="C392" i="1"/>
  <c r="E394" i="1"/>
  <c r="D394" i="1"/>
  <c r="C394" i="1"/>
  <c r="E393" i="1"/>
  <c r="D393" i="1"/>
  <c r="C393" i="1"/>
  <c r="E395" i="1"/>
  <c r="C395" i="1"/>
  <c r="E396" i="1"/>
  <c r="C396" i="1"/>
  <c r="E397" i="1"/>
  <c r="D396" i="1"/>
  <c r="D395" i="1"/>
  <c r="D392" i="1"/>
  <c r="D397" i="1"/>
  <c r="C397" i="1"/>
  <c r="C385" i="1"/>
  <c r="E385" i="1" s="1"/>
  <c r="F385" i="1" s="1"/>
  <c r="C382" i="1"/>
  <c r="E382" i="1" s="1"/>
  <c r="F382" i="1" s="1"/>
  <c r="C375" i="1"/>
  <c r="E375" i="1" s="1"/>
  <c r="F375" i="1" s="1"/>
  <c r="C372" i="1"/>
  <c r="E372" i="1" s="1"/>
  <c r="F372" i="1" s="1"/>
  <c r="C363" i="1"/>
  <c r="E363" i="1" s="1"/>
  <c r="C362" i="1"/>
  <c r="E362" i="1" s="1"/>
  <c r="C361" i="1"/>
  <c r="E361" i="1" s="1"/>
  <c r="C358" i="1"/>
  <c r="E358" i="1" s="1"/>
  <c r="F358" i="1" s="1"/>
  <c r="F352" i="1"/>
  <c r="F349" i="1" s="1"/>
  <c r="C344" i="1"/>
  <c r="F344" i="1" s="1"/>
  <c r="C343" i="1"/>
  <c r="F343" i="1" s="1"/>
  <c r="C339" i="1"/>
  <c r="C338" i="1"/>
  <c r="D337" i="1"/>
  <c r="F339" i="1"/>
  <c r="F338" i="1"/>
  <c r="C336" i="1"/>
  <c r="F336" i="1" s="1"/>
  <c r="E329" i="1"/>
  <c r="F313" i="1" s="1"/>
  <c r="F294" i="1"/>
  <c r="D276" i="1"/>
  <c r="D258" i="1"/>
  <c r="D240" i="1"/>
  <c r="D222" i="1"/>
  <c r="D210" i="1"/>
  <c r="D202" i="1"/>
  <c r="D194" i="1"/>
  <c r="E194" i="1" s="1"/>
  <c r="D195" i="1"/>
  <c r="E195" i="1" s="1"/>
  <c r="D192" i="1"/>
  <c r="D193" i="1" s="1"/>
  <c r="E193" i="1" s="1"/>
  <c r="D191" i="1"/>
  <c r="D189" i="1"/>
  <c r="E189" i="1" s="1"/>
  <c r="D188" i="1"/>
  <c r="E188" i="1" s="1"/>
  <c r="D187" i="1"/>
  <c r="E187" i="1" s="1"/>
  <c r="D186" i="1"/>
  <c r="E186" i="1" s="1"/>
  <c r="D184" i="1"/>
  <c r="E184" i="1" s="1"/>
  <c r="D183" i="1"/>
  <c r="E183" i="1" s="1"/>
  <c r="D190" i="1"/>
  <c r="E190" i="1" s="1"/>
  <c r="D185" i="1"/>
  <c r="E185" i="1" s="1"/>
  <c r="D182" i="1"/>
  <c r="E182" i="1" s="1"/>
  <c r="D181" i="1"/>
  <c r="E181" i="1" s="1"/>
  <c r="D180" i="1"/>
  <c r="E180" i="1" s="1"/>
  <c r="D179" i="1"/>
  <c r="E179" i="1" s="1"/>
  <c r="D178" i="1"/>
  <c r="E178" i="1" s="1"/>
  <c r="D177" i="1"/>
  <c r="E177" i="1" s="1"/>
  <c r="D173" i="1"/>
  <c r="E173" i="1" s="1"/>
  <c r="D174" i="1"/>
  <c r="E174" i="1" s="1"/>
  <c r="D171" i="1"/>
  <c r="E171" i="1" s="1"/>
  <c r="D170" i="1"/>
  <c r="E170" i="1" s="1"/>
  <c r="D169" i="1"/>
  <c r="E169" i="1" s="1"/>
  <c r="D168" i="1"/>
  <c r="E168" i="1" s="1"/>
  <c r="D167" i="1"/>
  <c r="E167" i="1" s="1"/>
  <c r="D166" i="1"/>
  <c r="E166" i="1" s="1"/>
  <c r="D164" i="1"/>
  <c r="E164" i="1" s="1"/>
  <c r="D159" i="1"/>
  <c r="E159" i="1" s="1"/>
  <c r="D160" i="1"/>
  <c r="E160" i="1" s="1"/>
  <c r="D161" i="1"/>
  <c r="E161" i="1" s="1"/>
  <c r="D162" i="1"/>
  <c r="E162" i="1" s="1"/>
  <c r="D163" i="1"/>
  <c r="E163" i="1" s="1"/>
  <c r="D158" i="1"/>
  <c r="E158" i="1" s="1"/>
  <c r="E151" i="1"/>
  <c r="F134" i="1" s="1"/>
  <c r="F114" i="1"/>
  <c r="C107" i="1"/>
  <c r="E107" i="1" s="1"/>
  <c r="C104" i="1"/>
  <c r="E104" i="1" s="1"/>
  <c r="E98" i="1"/>
  <c r="E99" i="1"/>
  <c r="B97" i="1"/>
  <c r="E97" i="1" s="1"/>
  <c r="C88" i="1"/>
  <c r="E88" i="1" s="1"/>
  <c r="C87" i="1"/>
  <c r="E87" i="1" s="1"/>
  <c r="C86" i="1"/>
  <c r="E86" i="1" s="1"/>
  <c r="C89" i="1"/>
  <c r="E89" i="1" s="1"/>
  <c r="C84" i="1"/>
  <c r="E84" i="1" s="1"/>
  <c r="E82" i="1"/>
  <c r="E85" i="1"/>
  <c r="E57" i="1"/>
  <c r="E58" i="1"/>
  <c r="E59" i="1"/>
  <c r="E60" i="1"/>
  <c r="E61" i="1"/>
  <c r="E62" i="1"/>
  <c r="C56" i="1"/>
  <c r="E56" i="1" s="1"/>
  <c r="F37" i="1"/>
  <c r="B30" i="1"/>
  <c r="D30" i="1" s="1"/>
  <c r="F27" i="1" s="1"/>
  <c r="B25" i="1"/>
  <c r="D25" i="1" s="1"/>
  <c r="F22" i="1" s="1"/>
  <c r="D18" i="1"/>
  <c r="F15" i="1" s="1"/>
  <c r="C12" i="1"/>
  <c r="B13" i="1"/>
  <c r="B12" i="1"/>
  <c r="D1163" i="1" l="1"/>
  <c r="F1158" i="1" s="1"/>
  <c r="F1143" i="1"/>
  <c r="F1140" i="1" s="1"/>
  <c r="F1152" i="1"/>
  <c r="F1149" i="1" s="1"/>
  <c r="F1135" i="1"/>
  <c r="D1123" i="1"/>
  <c r="F1120" i="1" s="1"/>
  <c r="F1100" i="1"/>
  <c r="F1093" i="1" s="1"/>
  <c r="F1105" i="1"/>
  <c r="F1102" i="1" s="1"/>
  <c r="F1088" i="1"/>
  <c r="F1085" i="1" s="1"/>
  <c r="D1006" i="1"/>
  <c r="F989" i="1" s="1"/>
  <c r="D987" i="1"/>
  <c r="F974" i="1" s="1"/>
  <c r="D945" i="1"/>
  <c r="F932" i="1" s="1"/>
  <c r="D972" i="1"/>
  <c r="F959" i="1" s="1"/>
  <c r="D957" i="1"/>
  <c r="F947" i="1" s="1"/>
  <c r="D930" i="1"/>
  <c r="F913" i="1" s="1"/>
  <c r="F880" i="1"/>
  <c r="F900" i="1"/>
  <c r="F908" i="1"/>
  <c r="F887" i="1"/>
  <c r="F889" i="1" s="1"/>
  <c r="F873" i="1" s="1"/>
  <c r="F864" i="1"/>
  <c r="F869" i="1"/>
  <c r="D857" i="1"/>
  <c r="F834" i="1" s="1"/>
  <c r="D799" i="1"/>
  <c r="F789" i="1" s="1"/>
  <c r="D812" i="1"/>
  <c r="F801" i="1" s="1"/>
  <c r="D824" i="1"/>
  <c r="F814" i="1" s="1"/>
  <c r="F826" i="1"/>
  <c r="D777" i="1"/>
  <c r="F755" i="1" s="1"/>
  <c r="D787" i="1"/>
  <c r="F779" i="1" s="1"/>
  <c r="F744" i="1"/>
  <c r="F704" i="1"/>
  <c r="F696" i="1" s="1"/>
  <c r="F738" i="1"/>
  <c r="F742" i="1"/>
  <c r="F736" i="1"/>
  <c r="F740" i="1"/>
  <c r="F727" i="1"/>
  <c r="F728" i="1"/>
  <c r="F739" i="1"/>
  <c r="F399" i="1"/>
  <c r="F720" i="1"/>
  <c r="F724" i="1"/>
  <c r="F725" i="1"/>
  <c r="F743" i="1"/>
  <c r="F714" i="1"/>
  <c r="F706" i="1" s="1"/>
  <c r="F719" i="1"/>
  <c r="F723" i="1"/>
  <c r="F726" i="1"/>
  <c r="F722" i="1"/>
  <c r="F737" i="1"/>
  <c r="F721" i="1"/>
  <c r="F741" i="1"/>
  <c r="F467" i="1"/>
  <c r="F464" i="1" s="1"/>
  <c r="F652" i="1"/>
  <c r="F693" i="1" s="1"/>
  <c r="F649" i="1" s="1"/>
  <c r="F591" i="1"/>
  <c r="F632" i="1" s="1"/>
  <c r="F588" i="1" s="1"/>
  <c r="D637" i="1"/>
  <c r="D642" i="1"/>
  <c r="E583" i="1"/>
  <c r="F580" i="1" s="1"/>
  <c r="F566" i="1"/>
  <c r="F491" i="1"/>
  <c r="F532" i="1" s="1"/>
  <c r="F488" i="1" s="1"/>
  <c r="F65" i="1"/>
  <c r="F398" i="1"/>
  <c r="F410" i="1"/>
  <c r="F411" i="1"/>
  <c r="C447" i="1"/>
  <c r="F430" i="1"/>
  <c r="C459" i="1"/>
  <c r="F431" i="1"/>
  <c r="F406" i="1"/>
  <c r="F409" i="1"/>
  <c r="F432" i="1"/>
  <c r="F429" i="1"/>
  <c r="F397" i="1"/>
  <c r="F404" i="1"/>
  <c r="F407" i="1"/>
  <c r="F403" i="1"/>
  <c r="F405" i="1"/>
  <c r="F408" i="1"/>
  <c r="F419" i="1"/>
  <c r="F425" i="1" s="1"/>
  <c r="F392" i="1"/>
  <c r="F396" i="1"/>
  <c r="F395" i="1"/>
  <c r="F394" i="1"/>
  <c r="F393" i="1"/>
  <c r="F387" i="1"/>
  <c r="F379" i="1" s="1"/>
  <c r="F377" i="1"/>
  <c r="F369" i="1" s="1"/>
  <c r="F361" i="1"/>
  <c r="F365" i="1" s="1"/>
  <c r="F355" i="1" s="1"/>
  <c r="F345" i="1"/>
  <c r="D253" i="1"/>
  <c r="F219" i="1" s="1"/>
  <c r="C337" i="1"/>
  <c r="F337" i="1"/>
  <c r="F340" i="1" s="1"/>
  <c r="D289" i="1"/>
  <c r="F255" i="1" s="1"/>
  <c r="F331" i="1"/>
  <c r="F291" i="1" s="1"/>
  <c r="D217" i="1"/>
  <c r="F199" i="1" s="1"/>
  <c r="E192" i="1"/>
  <c r="D165" i="1"/>
  <c r="E165" i="1" s="1"/>
  <c r="E191" i="1"/>
  <c r="D172" i="1"/>
  <c r="E172" i="1" s="1"/>
  <c r="F153" i="1"/>
  <c r="F111" i="1" s="1"/>
  <c r="F97" i="1"/>
  <c r="F94" i="1" s="1"/>
  <c r="F104" i="1"/>
  <c r="F107" i="1"/>
  <c r="C90" i="1"/>
  <c r="E90" i="1" s="1"/>
  <c r="F84" i="1" s="1"/>
  <c r="F56" i="1"/>
  <c r="D12" i="1"/>
  <c r="F9" i="1" s="1"/>
  <c r="F1132" i="1" l="1"/>
  <c r="B1318" i="1"/>
  <c r="B1319" i="1" s="1"/>
  <c r="F1314" i="1" s="1"/>
  <c r="F910" i="1"/>
  <c r="F891" i="1" s="1"/>
  <c r="F871" i="1"/>
  <c r="F859" i="1" s="1"/>
  <c r="F749" i="1"/>
  <c r="F733" i="1"/>
  <c r="F400" i="1"/>
  <c r="F646" i="1"/>
  <c r="F634" i="1" s="1"/>
  <c r="F586" i="1"/>
  <c r="F556" i="1" s="1"/>
  <c r="C461" i="1"/>
  <c r="F437" i="1" s="1"/>
  <c r="F433" i="1"/>
  <c r="F435" i="1" s="1"/>
  <c r="F416" i="1" s="1"/>
  <c r="F412" i="1"/>
  <c r="F347" i="1"/>
  <c r="F333" i="1" s="1"/>
  <c r="F177" i="1"/>
  <c r="F158" i="1"/>
  <c r="F109" i="1"/>
  <c r="F101" i="1" s="1"/>
  <c r="F92" i="1"/>
  <c r="F34" i="1" s="1"/>
  <c r="F751" i="1" l="1"/>
  <c r="F716" i="1" s="1"/>
  <c r="F414" i="1"/>
  <c r="F389" i="1" s="1"/>
  <c r="B2511" i="1" s="1"/>
  <c r="D2511" i="1" s="1"/>
  <c r="F2508" i="1" s="1"/>
  <c r="F197" i="1"/>
  <c r="F155" i="1" s="1"/>
</calcChain>
</file>

<file path=xl/sharedStrings.xml><?xml version="1.0" encoding="utf-8"?>
<sst xmlns="http://schemas.openxmlformats.org/spreadsheetml/2006/main" count="6380" uniqueCount="1603">
  <si>
    <t>Item</t>
  </si>
  <si>
    <t>Descrição</t>
  </si>
  <si>
    <t>Und</t>
  </si>
  <si>
    <t>Quant.</t>
  </si>
  <si>
    <t xml:space="preserve"> 1 </t>
  </si>
  <si>
    <t>ADMINISTRAÇÃO DE OBRA</t>
  </si>
  <si>
    <t xml:space="preserve"> 2 </t>
  </si>
  <si>
    <t>SERVIÇOS PRELIMINARES</t>
  </si>
  <si>
    <t xml:space="preserve"> 2.1 </t>
  </si>
  <si>
    <t>LOCAÇÃO CONVENCIONAL DE OBRA, UTILIZANDO GABARITO DE TÁBUAS CORRIDAS PONTALETADAS A CADA 1,50M -  2 UTILIZAÇÕES. AF_03/2024</t>
  </si>
  <si>
    <t>M</t>
  </si>
  <si>
    <t xml:space="preserve"> 2.2 </t>
  </si>
  <si>
    <t>FORNECIMENTO E INSTALAÇÃO DE PLACA DE OBRA COM CHAPA GALVANIZADA E ESTRUTURA DE MADEIRA. AF_03/2022_PS</t>
  </si>
  <si>
    <t>m²</t>
  </si>
  <si>
    <t xml:space="preserve"> 2.3 </t>
  </si>
  <si>
    <t>Barracão fechado porte pequeno para depósito de cimento e almoxarifado (s=38,72 m2) com materiais novos</t>
  </si>
  <si>
    <t>un</t>
  </si>
  <si>
    <t xml:space="preserve"> 2.4 </t>
  </si>
  <si>
    <t>ATERRO MANUAL DE VALAS COM AREIA PARA ATERRO. AF_08/2023</t>
  </si>
  <si>
    <t>m³</t>
  </si>
  <si>
    <t xml:space="preserve"> 2.5 </t>
  </si>
  <si>
    <t>COMPACTAÇÃO MECÂNICA DE SOLO PARA EXECUÇÃO DE RADIER, PISO DE CONCRETO OU LAJE SOBRE SOLO, COM COMPACTADOR DE SOLOS TIPO PLACA VIBRATÓRIA. AF_09/2021</t>
  </si>
  <si>
    <t xml:space="preserve"> 3 </t>
  </si>
  <si>
    <t>REFORMA INTERNA EDUCAÇÃO</t>
  </si>
  <si>
    <t xml:space="preserve"> 3.1 </t>
  </si>
  <si>
    <t>DEMOLIÇÕES E REMOÇÕES</t>
  </si>
  <si>
    <t xml:space="preserve"> 3.1.1 </t>
  </si>
  <si>
    <t>DEMOLIÇÃO DE REVESTIMENTO CERÂMICO, DE FORMA MECANIZADA COM MARTELETE, SEM REAPROVEITAMENTO. AF_09/2023</t>
  </si>
  <si>
    <t xml:space="preserve"> 3.1.2 </t>
  </si>
  <si>
    <t>DEMOLIÇÃO DE ARGAMASSAS, DE FORMA DE FORMA MECANIZADA COM MARTELETE, SEM REAPROVEITAMENTO. AF_09/2023</t>
  </si>
  <si>
    <t>DEMOLICAO CONTRAPISO/CAM.REGUL.PARA PISOS ATE 5cm</t>
  </si>
  <si>
    <t>REMOÇÃO DE PORTAS, DE FORMA MANUAL, SEM REAPROVEITAMENTO. AF_09/2023</t>
  </si>
  <si>
    <t>REMOÇÃO DE LOUÇAS, DE FORMA MANUAL, SEM REAPROVEITAMENTO. AF_09/2023</t>
  </si>
  <si>
    <t>UN</t>
  </si>
  <si>
    <t>REMOÇÃO DE LUMINÁRIAS, DE FORMA MANUAL, SEM REAPROVEITAMENTO. AF_09/2023</t>
  </si>
  <si>
    <t>REMOÇÃO DE INTERRUPTORES/TOMADAS ELÉTRICAS, DE FORMA MANUAL, SEM REAPROVEITAMENTO. AF_09/2023</t>
  </si>
  <si>
    <t>REMOÇÃO DE FORRO DE GESSO, DE FORMA MANUAL, SEM REAPROVEITAMENTO. AF_09/2023</t>
  </si>
  <si>
    <t>Remoção de divisória de granito (ou marmore)</t>
  </si>
  <si>
    <t>Remoção de bancada de granito (ou marmore)</t>
  </si>
  <si>
    <t xml:space="preserve"> 3.2 </t>
  </si>
  <si>
    <t>VEDAÇÃO</t>
  </si>
  <si>
    <t xml:space="preserve"> 3.2.1 </t>
  </si>
  <si>
    <t xml:space="preserve"> 3.3 </t>
  </si>
  <si>
    <t>REVESTIMENTOS</t>
  </si>
  <si>
    <t xml:space="preserve"> 3.3.1 </t>
  </si>
  <si>
    <t>REVESTIMENTO PAREDE</t>
  </si>
  <si>
    <t xml:space="preserve"> 3.3.1.1 </t>
  </si>
  <si>
    <t>CHAPISCO APLICADO EM ALVENARIA (SEM PRESENÇA DE VÃOS) E ESTRUTURAS DE CONCRETO DE FACHADA, COM COLHER DE PEDREIRO.  ARGAMASSA TRAÇO 1:3 COM PREPARO EM BETONEIRA 400L. AF_10/2022</t>
  </si>
  <si>
    <t xml:space="preserve"> 3.3.1.2 </t>
  </si>
  <si>
    <t>EMBOÇO OU MASSA ÚNICA EM ARGAMASSA TRAÇO 1:2:8, PREPARO MANUAL, APLICADA MANUALMENTE EM PANOS CEGOS DE FACHADA (SEM PRESENÇA DE VÃOS), ESPESSURA DE 25 MM. AF_09/2022</t>
  </si>
  <si>
    <t xml:space="preserve"> 3.3.1.3 </t>
  </si>
  <si>
    <t>REVESTIMENTO EM PORCELANATO 100X100 CM MUNICH SGR NAT 6060955A PORTINARI</t>
  </si>
  <si>
    <t>REVESTIMENTO CERÂMICO PARA PAREDES INTERNAS COM PLACAS TIPO ESMALTADA DE DIMENSÕES 33X45 CM APLICADAS NA ALTURA INTEIRA DAS PAREDES. AF_02/2023_PE</t>
  </si>
  <si>
    <t>FILETE EM GRANITO CINZA ANDORINHA</t>
  </si>
  <si>
    <t xml:space="preserve"> 3.3.2 </t>
  </si>
  <si>
    <t>REVESTIMENTO PISO</t>
  </si>
  <si>
    <t xml:space="preserve"> 3.3.2.1 </t>
  </si>
  <si>
    <t>APILOAMENTO COM MACO DE 30KG</t>
  </si>
  <si>
    <t xml:space="preserve"> 3.3.2.2 </t>
  </si>
  <si>
    <t>CONTRAPISO EM ARGAMASSA TRAÇO 1:4 (CIMENTO E AREIA), PREPARO MANUAL, APLICADO EM ÁREAS SECAS SOBRE LAJE, ADERIDO, ACABAMENTO NÃO REFORÇADO, ESPESSURA 4CM. AF_07/2021</t>
  </si>
  <si>
    <t xml:space="preserve"> 3.3.2.3 </t>
  </si>
  <si>
    <t>APICOAMENTO MANUAL DE SUPERFICIE DE CONCRETO</t>
  </si>
  <si>
    <t xml:space="preserve"> 3.3.2.4 </t>
  </si>
  <si>
    <t>IMPERMEABILIZAÇÃO DE SUPERFÍCIE COM ARGAMASSA POLIMÉRICA / MEMBRANA ACRÍLICA, 3 DEMÃOS. AF_09/2023</t>
  </si>
  <si>
    <t xml:space="preserve"> 3.3.2.5 </t>
  </si>
  <si>
    <t>RODAPE COM PORCELANATO 100X100 CM MUNICH SGR NAT 6060955A PORTINARI</t>
  </si>
  <si>
    <t xml:space="preserve"> 3.3.3 </t>
  </si>
  <si>
    <t>REVESTIMENTO TETO</t>
  </si>
  <si>
    <t xml:space="preserve"> 3.3.3.1 </t>
  </si>
  <si>
    <t>FORRO REMOVIVEL COMPOSTO DE FIBRA MINERAL,COM PLACA DE BORDA QUADRADA DE 625X625MM,ESP.APROXIMADA 15,0MM,C/INDICE DE ABS ORCAO ACUSTICA,ESTRUTURADO EM PERFIS TIPO "T" DE ACO GALVANI ZADO,ALUMINIO OU DE LIGAS DE ALUMINIO,ESP.MINIMA DE 0,5MM,C/ PINTURA ELETROSTATICA,SUSPENSO POR MEIO DE PENDURAIS EM ACO GALVANIZADO,FIXADOS EM ESTRUTURA SUPERIOR.FORN. E COLOCACAO</t>
  </si>
  <si>
    <t xml:space="preserve"> 3.4 </t>
  </si>
  <si>
    <t>PINTURA</t>
  </si>
  <si>
    <t xml:space="preserve"> 3.4.1 </t>
  </si>
  <si>
    <t>FUNDO SELADOR ACRÍLICO, APLICAÇÃO MANUAL EM PAREDE, UMA DEMÃO. AF_04/2023</t>
  </si>
  <si>
    <t xml:space="preserve"> 3.4.2 </t>
  </si>
  <si>
    <t>EMASSAMENTO COM MASSA LÁTEX, APLICAÇÃO EM PAREDE, UMA DEMÃO, LIXAMENTO MANUAL. AF_04/2023</t>
  </si>
  <si>
    <t xml:space="preserve"> 3.4.3 </t>
  </si>
  <si>
    <t>APLICAÇÃO MANUAL DE TINTA LÁTEX ACRÍLICA EM PANOS COM PRESENÇA DE VÃOS DE EDIFÍCIOS DE MÚLTIPLOS PAVIMENTOS, DUAS DEMÃOS. AF_03/2024</t>
  </si>
  <si>
    <t xml:space="preserve"> 3.5 </t>
  </si>
  <si>
    <t>ESQUADRIAS</t>
  </si>
  <si>
    <t xml:space="preserve"> 3.5.1 </t>
  </si>
  <si>
    <t>PORTAS</t>
  </si>
  <si>
    <t xml:space="preserve"> 3.5.1.1 </t>
  </si>
  <si>
    <t>PORTA DE GIRO EM ACM PRETO FOSCO COM VISOR  80X210 CM, INCLUSO ALIZAR E CONTRAMARCO. FORNECIMENTO E INSTALAÇÃO.</t>
  </si>
  <si>
    <t xml:space="preserve"> 3.5.1.2 </t>
  </si>
  <si>
    <t>PORTA DE GIRO EM ACM PRETO FOSCO 60X200 CM, INCLUSO ALIZAR E CONTRAMARCO. FORNECIMENTO E INSTALAÇÃO.</t>
  </si>
  <si>
    <t>UND</t>
  </si>
  <si>
    <t xml:space="preserve"> 3.5.1.3 </t>
  </si>
  <si>
    <t>PORTA DE GIRO EM ACM PRETO FOSCO 70X208 CM, INCLUSO ALIZAR E CONTRAMARCO. FORNECIMENTO E INSTALAÇÃO.</t>
  </si>
  <si>
    <t xml:space="preserve"> 3.5.1.4 </t>
  </si>
  <si>
    <t>PORTA DE GIRO EM ACM PRETO FOSCO 80X208 CM, INCLUSO ALIZAR E CONTRAMARCO. FORNECIMENTO E INSTALAÇÃO.</t>
  </si>
  <si>
    <t xml:space="preserve"> 3.5.1.5 </t>
  </si>
  <si>
    <t>PORTA METÁLICA PARA SANITÁRIO EM CHAPA GALVANIZADA, ESP. 1,25MM (GSG 18), DIMENSÃO (60X180)CM, TIPO DE ABRIR, UMA (1) FOLHA, INCLUSIVE BATENTE, ESTRUTURA EM METALON (20X30)MM, DOBRADIÇA E TRANQUETA, EXCLUSIVE PINTURA</t>
  </si>
  <si>
    <t xml:space="preserve"> 3.5.1.6 </t>
  </si>
  <si>
    <t>PORTÃO DE ABRIR DE 02 FOLHAS EM CHAPA 14 / GRADE DE FERRO PT-7 C/FERRAGENS</t>
  </si>
  <si>
    <t>DIVERSOS</t>
  </si>
  <si>
    <t>SOLEIRA EM GRANITO, LARGURA 15 CM, ESPESSURA 2,0 CM. AF_09/2020</t>
  </si>
  <si>
    <t>Divisória em granito verde ubatuba, polido dos dois lados, acabamento boleado, e= 2cm, assentado com argamassa traco 1:4, arremate em cimento branco, exclusive ferragens</t>
  </si>
  <si>
    <t>Bancada em granito verde ubatuba, e = 2cm</t>
  </si>
  <si>
    <t>ESPELHO CRISTAL, ESPESSURA 4MM, COM PARAFUSOS DE FIXACAO, SEM MOLDURA</t>
  </si>
  <si>
    <t>LOUÇAS E METAIS</t>
  </si>
  <si>
    <t>VASO SANITÁRIO SIFONADO COM CAIXA ACOPLADA LOUÇA BRANCA - PADRÃO MÉDIO, INCLUSO ENGATE FLEXÍVEL EM METAL CROMADO, 1/2  X 40CM - FORNECIMENTO E INSTALAÇÃO. AF_01/2020</t>
  </si>
  <si>
    <t>LAVATÓRIO LOUÇA BRANCA SUSPENSO, 29,5 X 39CM OU EQUIVALENTE, PADRÃO POPULAR - FORNECIMENTO E INSTALAÇÃO. AF_01/2020</t>
  </si>
  <si>
    <t>CUBA DE EMBUTIR OVAL EM LOUÇA BRANCA, 35 X 50CM OU EQUIVALENTE, INCLUSO VÁLVULA E SIFÃO TIPO GARRAFA EM METAL CROMADO - FORNECIMENTO E INSTALAÇÃO. AF_01/2020</t>
  </si>
  <si>
    <t>SIFÃO DO TIPO GARRAFA EM METAL CROMADO 1 X 1.1/2" - FORNECIMENTO E INSTALAÇÃO. AF_01/2020</t>
  </si>
  <si>
    <t>VÁLVULA EM METAL CROMADO 1.1/2" X 1.1/2" PARA TANQUE OU LAVATÓRIO, COM OU SEM LADRÃO - FORNECIMENTO E INSTALAÇÃO. AF_01/2020</t>
  </si>
  <si>
    <t>Torneira cromada de mesa para lavatório temporizada bica baixa</t>
  </si>
  <si>
    <t xml:space="preserve"> 4 </t>
  </si>
  <si>
    <t xml:space="preserve"> 5 </t>
  </si>
  <si>
    <t>REFORMA EXTERNA EDUCAÇÃO</t>
  </si>
  <si>
    <t xml:space="preserve"> 5.1 </t>
  </si>
  <si>
    <t>Remocao de tapete de nylon ou carpete colado no piso e retirada do residuo de cola com espatula ou palha de aco.</t>
  </si>
  <si>
    <t>DEMOLIÇÃO DE PISO DE CONCRETO SIMPLES, DE FORMA MECANIZADA COM MARTELETE, SEM REAPROVEITAMENTO. AF_09/2023</t>
  </si>
  <si>
    <t>DEMOLIÇÃO DE ALVENARIA DE BLOCO FURADO, DE FORMA MANUAL, SEM REAPROVEITAMENTO. AF_09/2023</t>
  </si>
  <si>
    <t>DEMOLIÇÃO DE LAJES, EM CONCRETO ARMADO, DE FORMA MECANIZADA COM MARTELETE, SEM REAPROVEITAMENTO. AF_09/2023</t>
  </si>
  <si>
    <t>REMOÇÃO DE GUARDA-CORPO EM TUBO DE FERRO GALVANIZADO</t>
  </si>
  <si>
    <t>RETIRADA CUIDADOSA CORRIMAO DE ESCADA</t>
  </si>
  <si>
    <t>REMOÇÂO DE PORTA/PORTAO METALICO</t>
  </si>
  <si>
    <t>DEMOLICÃO MANUAL DE PISO INTERTRAVADO COM EMPILHAMENTO</t>
  </si>
  <si>
    <t>DESMONTAGEM DE TELHAMENTO EM ESTRUTURAS METÁLICAS</t>
  </si>
  <si>
    <t>REMOÇÃO DE TRAMA METÁLICA PARA COBERTURA, DE FORMA MANUAL, SEM REAPROVEITAMENTO. AF_09/2023</t>
  </si>
  <si>
    <t>Remoção de tubo galvanizado, bitolas diversas</t>
  </si>
  <si>
    <t>m</t>
  </si>
  <si>
    <t xml:space="preserve"> 5.2 </t>
  </si>
  <si>
    <t>INFRAESTRUTURA</t>
  </si>
  <si>
    <t xml:space="preserve"> 5.3 </t>
  </si>
  <si>
    <t>SUPERESTRUTURA</t>
  </si>
  <si>
    <t xml:space="preserve"> 5.3.1 </t>
  </si>
  <si>
    <t>LAJE PRÉ-MOLDADA UNIDIRECIONAL, BIAPOIADA, PARA FORRO, ENCHIMENTO EM CERÂMICA, VIGOTA CONVENCIONAL, ALTURA TOTAL DA LAJE (ENCHIMENTO+CAPA) = (8+3). AF_11/2020_PA</t>
  </si>
  <si>
    <t xml:space="preserve"> 5.3.2 </t>
  </si>
  <si>
    <t xml:space="preserve"> 5.3.3 </t>
  </si>
  <si>
    <t xml:space="preserve"> 5.4 </t>
  </si>
  <si>
    <t>ALVENARIA DE VEDAÇÃO DE BLOCOS CERÂMICOS FURADOS NA HORIZONTAL DE 9X14X19 CM (ESPESSURA 9 CM) E ARGAMASSA DE ASSENTAMENTO COM PREPARO EM BETONEIRA. AF_12/2021</t>
  </si>
  <si>
    <t xml:space="preserve"> 5.4.2 </t>
  </si>
  <si>
    <t xml:space="preserve"> 5.5 </t>
  </si>
  <si>
    <t>COBERTURA E PLATIBANDA</t>
  </si>
  <si>
    <t xml:space="preserve"> 5.5.1 </t>
  </si>
  <si>
    <t xml:space="preserve"> 5.5.2 </t>
  </si>
  <si>
    <t>Telhamento com telha em aço galvalume, dupla, trapezoidal, com preenchimento PIR 30mm, pré-pintada, TP40 - 2 x 0,43mm, Kingspan- Isoeste ou similar</t>
  </si>
  <si>
    <t xml:space="preserve"> 5.5.3 </t>
  </si>
  <si>
    <t>RUFO EM CHAPA DE AÇO GALVANIZADO NÚMERO 24, CORTE DE 25 CM, INCLUSO TRANSPORTE VERTICAL. AF_07/2019</t>
  </si>
  <si>
    <t>CALHA EM CHAPA DE AÇO GALVANIZADO NÚMERO 24, DESENVOLVIMENTO DE 50 CM, INCLUSO TRANSPORTE VERTICAL. AF_07/2019</t>
  </si>
  <si>
    <t>Cumeeira aluminio e = 0,8 mm</t>
  </si>
  <si>
    <t>PINGADEIRA PARA MUROS DE ALVENARIA</t>
  </si>
  <si>
    <t>PLATIBANDA COM FECHAMENTO EM GLASROC, INCLUSO ESTRUTURAS</t>
  </si>
  <si>
    <t xml:space="preserve"> 5.6 </t>
  </si>
  <si>
    <t>REVESTIMENTO</t>
  </si>
  <si>
    <t xml:space="preserve"> 5.6.1 </t>
  </si>
  <si>
    <t>REVSETIMENTO PISO</t>
  </si>
  <si>
    <t>Revestimento em grama sintética, com espessura de 20 a 32 mm</t>
  </si>
  <si>
    <t>PISO CONCRETO SEMI POLIDO COM LASTRO (BASE) E=7,0 CM</t>
  </si>
  <si>
    <t xml:space="preserve"> 5.6.2 </t>
  </si>
  <si>
    <t>REVESTIMENTO PLATIBANDA E PAREDES</t>
  </si>
  <si>
    <t xml:space="preserve"> 5.6.3 </t>
  </si>
  <si>
    <t>PINTURA PLATIBANDA</t>
  </si>
  <si>
    <t>APLICAÇÃO MANUAL DE MASSA ACRÍLICA EM PAREDES EXTERNAS DE CASAS, DUAS DEMÃOS. AF_03/2024</t>
  </si>
  <si>
    <t>APLICAÇÃO MANUAL DE TINTA LÁTEX ACRÍLICA EM PAREDE EXTERNAS DE CASAS, DUAS DEMÃOS. AF_03/2024</t>
  </si>
  <si>
    <t>PINTURA ESTRUTURAS METÁLICA</t>
  </si>
  <si>
    <t>PINTURA COM TINTA ALQUÍDICA DE FUNDO E ACABAMENTO (PRETO FOSCO) PULVERIZADA SOBRE SUPERFÍCIES METÁLICAS (EXCETO PERFIL) EXECUTADO EM OBRA (POR DEMÃO). AF_01/2020_PE</t>
  </si>
  <si>
    <t>LIXAMENTO MANUAL EM SUPERFÍCIES METÁLICAS EM OBRA. AF_01/2020</t>
  </si>
  <si>
    <t>RAMPA DE ACESSIBILIDADE EM CONCRETO MOLDADO IN LOCO, EM CALÇADA PRÉ EXISTENTE COM LARGURA MENOR À 3,00 M, FCK 25MPA.</t>
  </si>
  <si>
    <t>Corrimão em aço inox, escovado, d=1 1/2"</t>
  </si>
  <si>
    <t xml:space="preserve"> 6 </t>
  </si>
  <si>
    <t>SALA MULTIUSO</t>
  </si>
  <si>
    <t>VERGA MOLDADA IN LOCO EM CONCRETO, ESPESSURA DE *15* CM. AF_03/2024</t>
  </si>
  <si>
    <t>CONTRAVERGA MOLDADA IN LOCO EM CONCRETO, ESPESSURA DE *15* CM. AF_03/2024</t>
  </si>
  <si>
    <t>FIXAÇÃO (ENCUNHAMENTO) DE ALVENARIA DE VEDAÇÃO COM ESPUMA DE POLIURETANO EXPANSIVA. AF_03/2024</t>
  </si>
  <si>
    <t>CONTRAPISO EM ARGAMASSA PRONTA, PREPARO MANUAL, APLICADO EM ÁREAS SECAS SOBRE LAJE, ADERIDO, ACABAMENTO NÃO REFORÇADO, ESPESSURA 4CM. AF_07/2021</t>
  </si>
  <si>
    <t>APLICAÇÃO MANUAL DE MASSA ACRÍLICA EM PANOS DE FACHADA COM PRESENÇA DE VÃOS, DE EDIFÍCIOS DE MÚLTIPLOS PAVIMENTOS, DUAS DEMÃOS. AF_03/2024</t>
  </si>
  <si>
    <t>PORTA DE CORRER EM ALUMINIO COM ACABAMENTO ANODIZADO FOSCO NA COR PRETA/BRANCA, CONTRAMARCO, INCLUSIVE VIDROS</t>
  </si>
  <si>
    <t>JANELA DE ALUMÍNIO DE CORRER COM 4 FOLHAS PARA VIDROS, COM VIDROS, BATENTE, ACABAMENTO COM ACETATO OU BRILHANTE E FERRAGENS. INCLUSIVE ALIZAR. FORNECIMENTO E INSTALAÇÃO. AF_12/2019</t>
  </si>
  <si>
    <t xml:space="preserve"> 7 </t>
  </si>
  <si>
    <t>REFORMA ENTRADA PRINCIPAL</t>
  </si>
  <si>
    <t xml:space="preserve"> 8 </t>
  </si>
  <si>
    <t>PINTURAL GERAL</t>
  </si>
  <si>
    <t xml:space="preserve"> 8.1 </t>
  </si>
  <si>
    <t>LIXAMENTO MANUAL EM PAREDE PARA REMOÇÃO DE TINTA</t>
  </si>
  <si>
    <t xml:space="preserve"> 8.2 </t>
  </si>
  <si>
    <t xml:space="preserve"> 8.3 </t>
  </si>
  <si>
    <t>PINTURA PARA REVESTIMENTO CERÂMICO COM TINTA EPÓXI, APLICAÇÃO MANUAL, 2 DEMÃOS, INCLUSO PRIMER EPÓXI. AF_05/2021</t>
  </si>
  <si>
    <t>OUTROS</t>
  </si>
  <si>
    <t>RETIRADA DE ENTULHO DE OBRA COM CACAMBA DE ACO TIPO CONTAINE R COM 5M3 DE CAPACIDADE,INCLUSIVE CARREGAMENTO,TRANSPORTE E DESCARREGAMENTO.CUSTO POR UNIDADE DE CACAMBA E INCLUI A TAX A PARA DESCARGA EM LOCAIS AUTORIZADOS</t>
  </si>
  <si>
    <t>ALUGUEL MENSAL ANDAIME TUBULAR</t>
  </si>
  <si>
    <t>MES</t>
  </si>
  <si>
    <t>_______________________________________________________________
Obras e Reformas
Setor de Engenharia</t>
  </si>
  <si>
    <t>MEMÓRIA DE CALCULO</t>
  </si>
  <si>
    <t>Local</t>
  </si>
  <si>
    <t>Comprimento (m)</t>
  </si>
  <si>
    <t>Largura (m)</t>
  </si>
  <si>
    <t>Altura (m)</t>
  </si>
  <si>
    <t>Volume (m³)</t>
  </si>
  <si>
    <t xml:space="preserve">Sala multiuso </t>
  </si>
  <si>
    <t>Perimetro (m)</t>
  </si>
  <si>
    <t>Esta sendo considerado 1m a mais de cada lado.</t>
  </si>
  <si>
    <t>Área (m²)</t>
  </si>
  <si>
    <t>Total (m²)</t>
  </si>
  <si>
    <t>Área (m)</t>
  </si>
  <si>
    <t>Nº camadas</t>
  </si>
  <si>
    <t>Área total (m²)</t>
  </si>
  <si>
    <t>PISO</t>
  </si>
  <si>
    <t>PAREDE</t>
  </si>
  <si>
    <t>TERREO</t>
  </si>
  <si>
    <t>SL 01</t>
  </si>
  <si>
    <t>SL 02</t>
  </si>
  <si>
    <t>SL 03</t>
  </si>
  <si>
    <t>SL 04</t>
  </si>
  <si>
    <t>SL 05</t>
  </si>
  <si>
    <t>SL 06</t>
  </si>
  <si>
    <t xml:space="preserve">RECREIO COBERTO </t>
  </si>
  <si>
    <t>SAN MASC</t>
  </si>
  <si>
    <t>SAN FEM</t>
  </si>
  <si>
    <t>COORDENAÇÃO</t>
  </si>
  <si>
    <t>WC</t>
  </si>
  <si>
    <t xml:space="preserve">SALA ADM </t>
  </si>
  <si>
    <t>SALA REUNIÃO</t>
  </si>
  <si>
    <t xml:space="preserve">SANT 1 </t>
  </si>
  <si>
    <t>SANT 2</t>
  </si>
  <si>
    <t>HALL EDUCAÇÃO</t>
  </si>
  <si>
    <t>Circulação</t>
  </si>
  <si>
    <t>PAV 1</t>
  </si>
  <si>
    <t>HABILIDADES MANUAIS</t>
  </si>
  <si>
    <t>CIRCULAÇÃO</t>
  </si>
  <si>
    <t>COORD INFANTIL</t>
  </si>
  <si>
    <t>SAN 1</t>
  </si>
  <si>
    <t>SAN 2</t>
  </si>
  <si>
    <t>SALA PROFESSORES</t>
  </si>
  <si>
    <t>PCD</t>
  </si>
  <si>
    <t>TOTAL (m²)</t>
  </si>
  <si>
    <t xml:space="preserve"> 3.1.3</t>
  </si>
  <si>
    <t xml:space="preserve"> 3.1.4</t>
  </si>
  <si>
    <t xml:space="preserve"> 3.1.5</t>
  </si>
  <si>
    <t xml:space="preserve"> 3.1.6</t>
  </si>
  <si>
    <t xml:space="preserve"> 3.1.7</t>
  </si>
  <si>
    <t xml:space="preserve"> 3.1.8</t>
  </si>
  <si>
    <t xml:space="preserve"> 3.1.9</t>
  </si>
  <si>
    <t xml:space="preserve"> 3.1.10</t>
  </si>
  <si>
    <t xml:space="preserve"> 3.1.11</t>
  </si>
  <si>
    <t>Coord infantil PAV 1</t>
  </si>
  <si>
    <t>Coordenação PAV 1</t>
  </si>
  <si>
    <t>Sanit PAV 1</t>
  </si>
  <si>
    <t>Total (m³)</t>
  </si>
  <si>
    <t xml:space="preserve"> 4.1 </t>
  </si>
  <si>
    <t xml:space="preserve"> 4.1.1 </t>
  </si>
  <si>
    <t xml:space="preserve"> 4.1.2 </t>
  </si>
  <si>
    <t xml:space="preserve"> 4.1.3 </t>
  </si>
  <si>
    <t xml:space="preserve"> 4.1.4 </t>
  </si>
  <si>
    <t xml:space="preserve"> 4.1.5 </t>
  </si>
  <si>
    <t xml:space="preserve"> 4.1.6 </t>
  </si>
  <si>
    <t xml:space="preserve"> 4.1.7 </t>
  </si>
  <si>
    <t xml:space="preserve"> 4.1.8 </t>
  </si>
  <si>
    <t xml:space="preserve"> 4.1.9 </t>
  </si>
  <si>
    <t xml:space="preserve"> 4.1.10 </t>
  </si>
  <si>
    <t xml:space="preserve"> 4.1.11 </t>
  </si>
  <si>
    <t xml:space="preserve"> 4.2 </t>
  </si>
  <si>
    <t xml:space="preserve"> 4.3 </t>
  </si>
  <si>
    <t xml:space="preserve"> 4.3.1 </t>
  </si>
  <si>
    <t xml:space="preserve"> 4.3.2 </t>
  </si>
  <si>
    <t xml:space="preserve"> 4.3.3 </t>
  </si>
  <si>
    <t xml:space="preserve"> 4.4 </t>
  </si>
  <si>
    <t xml:space="preserve"> 4.4.1 </t>
  </si>
  <si>
    <t xml:space="preserve"> 4.5 </t>
  </si>
  <si>
    <t xml:space="preserve"> 4.5.1 </t>
  </si>
  <si>
    <t xml:space="preserve"> 4.6 </t>
  </si>
  <si>
    <t xml:space="preserve"> 4.6.1 </t>
  </si>
  <si>
    <t xml:space="preserve"> 4.6.1.1 </t>
  </si>
  <si>
    <t xml:space="preserve"> 4.6.1.2 </t>
  </si>
  <si>
    <t xml:space="preserve"> 4.6.2 </t>
  </si>
  <si>
    <t xml:space="preserve"> 4.6.2.1 </t>
  </si>
  <si>
    <t xml:space="preserve"> 4.6.2.2 </t>
  </si>
  <si>
    <t xml:space="preserve"> 4.6.3 </t>
  </si>
  <si>
    <t xml:space="preserve"> 4.6.3.1 </t>
  </si>
  <si>
    <t xml:space="preserve"> 4.6.3.1.1 </t>
  </si>
  <si>
    <t xml:space="preserve"> 4.6.3.1.2 </t>
  </si>
  <si>
    <t xml:space="preserve"> 4.6.3.1.3 </t>
  </si>
  <si>
    <t xml:space="preserve"> 4.6.3.2 </t>
  </si>
  <si>
    <t xml:space="preserve"> 4.6.3.2.1 </t>
  </si>
  <si>
    <t xml:space="preserve"> 4.6.3.2.2 </t>
  </si>
  <si>
    <t xml:space="preserve"> 5.3.4 </t>
  </si>
  <si>
    <t xml:space="preserve"> 5.4.3 </t>
  </si>
  <si>
    <t xml:space="preserve"> 5.4.4 </t>
  </si>
  <si>
    <t xml:space="preserve"> 5.4.5 </t>
  </si>
  <si>
    <t xml:space="preserve"> 5.4.6 </t>
  </si>
  <si>
    <t xml:space="preserve"> 5.5.1.1 </t>
  </si>
  <si>
    <t xml:space="preserve"> 5.5.1.2 </t>
  </si>
  <si>
    <t xml:space="preserve"> 5.5.1.3 </t>
  </si>
  <si>
    <t xml:space="preserve"> 5.5.2.1 </t>
  </si>
  <si>
    <t xml:space="preserve"> 5.5.2.2 </t>
  </si>
  <si>
    <t xml:space="preserve"> 5.5.3.1 </t>
  </si>
  <si>
    <t xml:space="preserve"> 5.7 </t>
  </si>
  <si>
    <t xml:space="preserve"> 5.7.1 </t>
  </si>
  <si>
    <t xml:space="preserve"> 5.7.2 </t>
  </si>
  <si>
    <t xml:space="preserve"> 7.1 </t>
  </si>
  <si>
    <t xml:space="preserve"> 7.2 </t>
  </si>
  <si>
    <t xml:space="preserve"> 7.3 </t>
  </si>
  <si>
    <t xml:space="preserve"> 8.4 </t>
  </si>
  <si>
    <t>QTD (und)</t>
  </si>
  <si>
    <t>Geral SETOR (m²)</t>
  </si>
  <si>
    <t>ESCADA</t>
  </si>
  <si>
    <t>Comprimento total (m)</t>
  </si>
  <si>
    <t>Geral SETOR (m)</t>
  </si>
  <si>
    <t>RECREIO COB</t>
  </si>
  <si>
    <t>QTD  (und)</t>
  </si>
  <si>
    <t>Geral SETOR (und)</t>
  </si>
  <si>
    <t>FORRO</t>
  </si>
  <si>
    <t>DIVISORIAS</t>
  </si>
  <si>
    <t>QTD</t>
  </si>
  <si>
    <t>BANCADA</t>
  </si>
  <si>
    <t>PAREDE COM SISTEMA EM CHAPAS DE GESSO PARA DRYWALL, USO INTERNO, COM DUAS FACES SIMPLES E ESTRUTURA METÁLICA COM GUIAS DUPLAS PARA PAREDES COM ÁREA LÍQUIDA MAIOR OU IGUAL A 6 M2, COM VÃOS. AF_07/2023_PS</t>
  </si>
  <si>
    <t>SL 07</t>
  </si>
  <si>
    <t>SL 08</t>
  </si>
  <si>
    <t>Área vãos (m²)</t>
  </si>
  <si>
    <t>HALL ESCADA</t>
  </si>
  <si>
    <t>PERIMETRO (m)</t>
  </si>
  <si>
    <t>Total (m)</t>
  </si>
  <si>
    <t>RODAPÉ</t>
  </si>
  <si>
    <t xml:space="preserve"> 3.3.1.4</t>
  </si>
  <si>
    <t xml:space="preserve"> 3.3.1.5</t>
  </si>
  <si>
    <t xml:space="preserve"> 3.3.2.6</t>
  </si>
  <si>
    <t>SALA MULTIUSO INTERNA</t>
  </si>
  <si>
    <t>SL MULTIUSO</t>
  </si>
  <si>
    <t xml:space="preserve">CIRCULAÇÃO </t>
  </si>
  <si>
    <t>PÁTIO</t>
  </si>
  <si>
    <t xml:space="preserve">HALL EDUCAÇÃO </t>
  </si>
  <si>
    <t>SL REUNIAO</t>
  </si>
  <si>
    <t xml:space="preserve">SL ADM </t>
  </si>
  <si>
    <t>RECREIO</t>
  </si>
  <si>
    <t>Quantidade (und)</t>
  </si>
  <si>
    <t>Total (und)</t>
  </si>
  <si>
    <t>P01</t>
  </si>
  <si>
    <t>P04</t>
  </si>
  <si>
    <t>SANT</t>
  </si>
  <si>
    <t>SANIT</t>
  </si>
  <si>
    <t>P03</t>
  </si>
  <si>
    <t>SALA DE REUNIÃO</t>
  </si>
  <si>
    <t>ÁREA (m²)</t>
  </si>
  <si>
    <t>PT01</t>
  </si>
  <si>
    <t>ENTRADA</t>
  </si>
  <si>
    <t>P02</t>
  </si>
  <si>
    <t>P05</t>
  </si>
  <si>
    <t>SANIT MASC</t>
  </si>
  <si>
    <t>SANIT FEM</t>
  </si>
  <si>
    <t>TOTAL (UND)</t>
  </si>
  <si>
    <t>SOLEIRA</t>
  </si>
  <si>
    <t>DIVISÓRIAS</t>
  </si>
  <si>
    <t xml:space="preserve">BASE </t>
  </si>
  <si>
    <t xml:space="preserve">RODA MEIO </t>
  </si>
  <si>
    <t>COMPRIMENTO (m)</t>
  </si>
  <si>
    <t>LARGURA (m)</t>
  </si>
  <si>
    <t>ESPELHOS</t>
  </si>
  <si>
    <t>VASOS</t>
  </si>
  <si>
    <t>LAVATORIOS</t>
  </si>
  <si>
    <t>SIFÃO</t>
  </si>
  <si>
    <t>VALVULA</t>
  </si>
  <si>
    <t>TORNEIRA</t>
  </si>
  <si>
    <t>ENTRADA FRONTAL EDUCAÇÃO</t>
  </si>
  <si>
    <t>A1</t>
  </si>
  <si>
    <t>A2</t>
  </si>
  <si>
    <t>A3</t>
  </si>
  <si>
    <t>A4</t>
  </si>
  <si>
    <t>PILARES TENDAS</t>
  </si>
  <si>
    <t>PILARES PASSARELA</t>
  </si>
  <si>
    <t>Profundidade (m)</t>
  </si>
  <si>
    <t>RAMPA</t>
  </si>
  <si>
    <t>ÁREA RAMPA</t>
  </si>
  <si>
    <t>ENTRADA POSTERIOR EDUCAÇÃO</t>
  </si>
  <si>
    <t>MURO ENTRADA POSTERIOR EDUCAÇÃO</t>
  </si>
  <si>
    <t>MURETA RAMPA</t>
  </si>
  <si>
    <t>MURO ENTRADA FRONTAL EDUCAÇÃO</t>
  </si>
  <si>
    <t>CASA DE MAQUINA</t>
  </si>
  <si>
    <t>ALTURA (m)</t>
  </si>
  <si>
    <t>Perimetro total (m)</t>
  </si>
  <si>
    <t>RAMPA HALL</t>
  </si>
  <si>
    <t>RAMPA MAIOR</t>
  </si>
  <si>
    <t>PASSARELA</t>
  </si>
  <si>
    <t>TENDA</t>
  </si>
  <si>
    <t xml:space="preserve"> 4.2.1 </t>
  </si>
  <si>
    <t xml:space="preserve"> 4.2.2 </t>
  </si>
  <si>
    <t xml:space="preserve"> 4.2.3 </t>
  </si>
  <si>
    <t xml:space="preserve"> 4.2.4 </t>
  </si>
  <si>
    <t xml:space="preserve"> 4.2.5 </t>
  </si>
  <si>
    <t xml:space="preserve"> 4.2.6 </t>
  </si>
  <si>
    <t xml:space="preserve"> 4.2.7 </t>
  </si>
  <si>
    <t>ESCAVAÇÃO MANUAL PARA BLOCO DE COROAMENTO OU SAPATA (INCLUINDO ESCAVAÇÃO PARA COLOCAÇÃO DE FÔRMAS). AF_01/2024</t>
  </si>
  <si>
    <t>PREPARO DE FUNDO DE VALA COM LARGURA MENOR QUE 1,5 M (ACERTO DO SOLO NATURAL). AF_08/2020</t>
  </si>
  <si>
    <t>CHUMBADOR PARABOLT 3/8""</t>
  </si>
  <si>
    <t>ARMAÇÃO DE BLOCO UTILIZANDO AÇO CA-50 DE 8 MM - MONTAGEM. AF_01/2024</t>
  </si>
  <si>
    <t>KG</t>
  </si>
  <si>
    <t>FORNEC. E COLOCAÇÃO DE CHAPA EM AÇO 1/2" (12,50MM- 98,00 KG/M2)</t>
  </si>
  <si>
    <t>CONCRETO FCK = 25MPA, TRAÇO 1:2,3:2,7 (EM MASSA SECA DE CIMENTO/ AREIA MÉDIA/ BRITA 1) - PREPARO MECÂNICO COM BETONEIRA 400 L. AF_05/2021</t>
  </si>
  <si>
    <t>LANÇAMENTO COM USO DE BALDES, ADENSAMENTO E ACABAMENTO DE CONCRETO EM ESTRUTURAS. AF_02/2022</t>
  </si>
  <si>
    <t>PM1 e PM2</t>
  </si>
  <si>
    <t>PM3</t>
  </si>
  <si>
    <t>TOTAL (m³)</t>
  </si>
  <si>
    <t>Conforme tabela da prancha 2/3 do projeto de estrutura metalica da educação</t>
  </si>
  <si>
    <t>VIGAS</t>
  </si>
  <si>
    <t xml:space="preserve"> 4.3.4 </t>
  </si>
  <si>
    <t>PILAR METÁLICO PERFIL LAMINADO OU SOLDADO EM AÇO ESTRUTURAL, COM CONEXÕES SOLDADAS, INCLUSOS MÃO DE OBRA, TRANSPORTE E IÇAMENTO UTILIZANDO GUINDASTE - FORNECIMENTO E INSTALAÇÃO. AF_01/2020_PA</t>
  </si>
  <si>
    <t>CHAPA DE ACO GROSSA, PRETA 3/16"" 4,75mm (37,29 kg/m2)</t>
  </si>
  <si>
    <t>VIGA METÁLICA EM PERFIL LAMINADO OU SOLDADO EM AÇO ESTRUTURAL, COM CONEXÕES SOLDADAS, INCLUSOS MÃO DE OBRA, TRANSPORTE E IÇAMENTO UTILIZANDO GUINDASTE - FORNECIMENTO E INSTALAÇÃO. AF_01/2020_PA</t>
  </si>
  <si>
    <t>Casa de maquinas</t>
  </si>
  <si>
    <t>PM1</t>
  </si>
  <si>
    <t>TOTAL (kg)</t>
  </si>
  <si>
    <t>PM2</t>
  </si>
  <si>
    <t>PRANCHA 19 ARQ</t>
  </si>
  <si>
    <t>DETALHE 3</t>
  </si>
  <si>
    <t>ALV A CONSTRUIR</t>
  </si>
  <si>
    <t>TRAMA DE AÇO COMPOSTA POR TERÇAS PARA TELHADOS DE ATÉ 2 ÁGUAS PARA TELHA ONDULADA DE FIBROCIMENTO, METÁLICA, PLÁSTICA OU TERMOACÚSTICA, INCLUSO TRANSPORTE VERTICAL (EM KG). AF_07/2019</t>
  </si>
  <si>
    <t>PERGOLA 1</t>
  </si>
  <si>
    <t>PERGOLA 2</t>
  </si>
  <si>
    <t>VIGA 1</t>
  </si>
  <si>
    <t>VIGA 2</t>
  </si>
  <si>
    <t>VIGA 3</t>
  </si>
  <si>
    <t>VIGA PRANCHA 3-3</t>
  </si>
  <si>
    <t>Conforme tabela da prancha 3/3 do projeto de estrutura metalica da educação</t>
  </si>
  <si>
    <t xml:space="preserve"> 4.5.2</t>
  </si>
  <si>
    <t xml:space="preserve"> 4.5.3</t>
  </si>
  <si>
    <t xml:space="preserve"> 4.5.4</t>
  </si>
  <si>
    <t xml:space="preserve"> 4.5.5</t>
  </si>
  <si>
    <t xml:space="preserve"> 4.5.6</t>
  </si>
  <si>
    <t xml:space="preserve"> 4.5.7</t>
  </si>
  <si>
    <t xml:space="preserve"> 4.5.8</t>
  </si>
  <si>
    <t>ESTRUTURA TRELIÇADA DE COBERTURA, TIPO FINK, COM LIGAÇÕES SOLDADAS, INCLUSOS PERFIS METÁLICOS, CHAPAS METÁLICAS, MÃO DE OBRA E TRANSPORTE COM GUINDASTE - FORNECIMENTO E INSTALAÇÃO. AF_01/2020_PSA</t>
  </si>
  <si>
    <t>TRELIÇA 1</t>
  </si>
  <si>
    <t>TRELIÇA 2</t>
  </si>
  <si>
    <t>Conforme tabela das pranchas 2/3 e 3/3 do projeto de estrutura metalica da educação</t>
  </si>
  <si>
    <t>TERÇAS 2-3</t>
  </si>
  <si>
    <t>TERÇAS 3-3</t>
  </si>
  <si>
    <t>Conforme tabela das prancha 2/3 do projeto de estrutura metalica da educação</t>
  </si>
  <si>
    <t>kg total</t>
  </si>
  <si>
    <t xml:space="preserve">Telhado passarela </t>
  </si>
  <si>
    <t xml:space="preserve">Telha cobertura patio </t>
  </si>
  <si>
    <t>Telha cobertura em balanço</t>
  </si>
  <si>
    <t>Telha hall educação</t>
  </si>
  <si>
    <t>TOTAL (m)</t>
  </si>
  <si>
    <t>largura (m)</t>
  </si>
  <si>
    <t>PRANCHA 21 ARQ</t>
  </si>
  <si>
    <t xml:space="preserve">RAMPA </t>
  </si>
  <si>
    <t>PASSARELA FRONTAL</t>
  </si>
  <si>
    <t xml:space="preserve">MULTIPLICADO POR 2 LADOS </t>
  </si>
  <si>
    <t>Perfil</t>
  </si>
  <si>
    <t>a</t>
  </si>
  <si>
    <t>b</t>
  </si>
  <si>
    <t>c</t>
  </si>
  <si>
    <t>Compr total (m)</t>
  </si>
  <si>
    <t>250x85x25</t>
  </si>
  <si>
    <t>chapa dobrada</t>
  </si>
  <si>
    <t>150x50x20</t>
  </si>
  <si>
    <t>U 50X25</t>
  </si>
  <si>
    <t>RAMPA SALA MULTIUSO</t>
  </si>
  <si>
    <t>PRANCHA 17 ARQ</t>
  </si>
  <si>
    <t>ESCAVAÇÃO MANUAL DE VALA COM PROFUNDIDADE MENOR OU IGUAL A 1,30 M. AF_02/2021</t>
  </si>
  <si>
    <t>REATERRO MANUAL DE VALAS</t>
  </si>
  <si>
    <t>TUBO PVC, SÉRIE R, ÁGUA PLUVIAL, DN 100 MM, FORNECIDO E INSTALADO EM RAMAL DE ENCAMINHAMENTO. AF_06/2022</t>
  </si>
  <si>
    <t>JOELHO 45 GRAUS, PVC, SERIE R, ÁGUA PLUVIAL, DN 100 MM, JUNTA ELÁSTICA, FORNECIDO E INSTALADO EM RAMAL DE ENCAMINHAMENTO. AF_06/2022</t>
  </si>
  <si>
    <t>JOELHO 90 GRAUS, PVC, SERIE R, ÁGUA PLUVIAL, DN 100 MM, JUNTA ELÁSTICA, FORNECIDO E INSTALADO EM RAMAL DE ENCAMINHAMENTO. AF_06/2022</t>
  </si>
  <si>
    <t>JUNÇÃO SIMPLES DE PVC, 45 GRAUS, SÉRIE NORMAL, PARA ESGOTO PREDIAL, DN 100 MM, INSTALADA EM DRENO - FORNECIMENTO E INSTALAÇÃO. AF_07/2021</t>
  </si>
  <si>
    <t>LUVA DE CORRER, PVC, SERIE R, ÁGUA PLUVIAL, DN 100 MM, JUNTA ELÁSTICA, FORNECIDO E INSTALADO EM RAMAL DE ENCAMINHAMENTO. AF_06/2022</t>
  </si>
  <si>
    <t>TUBO PVC, SÉRIE R, ÁGUA PLUVIAL, DN 150 MM, FORNECIDO E INSTALADO EM RAMAL DE ENCAMINHAMENTO. AF_06/2022</t>
  </si>
  <si>
    <t>CAIXA DE AREIA 50X50 CM PARA AGUAS PLUVIAIS</t>
  </si>
  <si>
    <t>INSTALAÇÕES PLUVIAIS</t>
  </si>
  <si>
    <t>TUBOS</t>
  </si>
  <si>
    <t>CAIXAS 50X50</t>
  </si>
  <si>
    <t>Conforme projeto pluvial educação pranchas 1-3 e 3-3</t>
  </si>
  <si>
    <t>Conforme projeto pluvial educação prancha 1-3</t>
  </si>
  <si>
    <t>Conforme projeto pluvial educação pranchas 3-3</t>
  </si>
  <si>
    <t>INSTALAÇÕES ELETRICAS EXTERNAS E SALA MULTIUSO</t>
  </si>
  <si>
    <t xml:space="preserve"> 3.6</t>
  </si>
  <si>
    <t xml:space="preserve"> 3.6.1</t>
  </si>
  <si>
    <t>3.6.2</t>
  </si>
  <si>
    <t>3.6.3</t>
  </si>
  <si>
    <t>3.6.4</t>
  </si>
  <si>
    <t xml:space="preserve"> 3.7</t>
  </si>
  <si>
    <t>3.7.1</t>
  </si>
  <si>
    <t>3.7.2</t>
  </si>
  <si>
    <t>3.7.3</t>
  </si>
  <si>
    <t>3.7.4</t>
  </si>
  <si>
    <t>3.7.5</t>
  </si>
  <si>
    <t>3.7.6</t>
  </si>
  <si>
    <t xml:space="preserve"> 5.1.1 </t>
  </si>
  <si>
    <t xml:space="preserve"> 5.1.2 </t>
  </si>
  <si>
    <t xml:space="preserve"> 5.1.3 </t>
  </si>
  <si>
    <t xml:space="preserve"> 5.1.4 </t>
  </si>
  <si>
    <t>LASTRO DE CONCRETO MAGRO, APLICADO EM BLOCOS DE COROAMENTO OU SAPATAS, ESPESSURA DE 3 CM. AF_01/2024</t>
  </si>
  <si>
    <t xml:space="preserve"> 5.1.5 </t>
  </si>
  <si>
    <t>ARMAÇÃO DE BLOCO UTILIZANDO AÇO CA-50 DE 6,3 MM - MONTAGEM. AF_01/2024</t>
  </si>
  <si>
    <t xml:space="preserve"> 5.1.6 </t>
  </si>
  <si>
    <t xml:space="preserve"> 5.1.7 </t>
  </si>
  <si>
    <t>ARMAÇÃO DE BLOCO UTILIZANDO AÇO CA-50 DE 10 MM - MONTAGEM. AF_01/2024</t>
  </si>
  <si>
    <t xml:space="preserve"> 5.1.8 </t>
  </si>
  <si>
    <t>ARMAÇÃO DE BLOCO UTILIZANDO AÇO CA-60 DE 5 MM - MONTAGEM. AF_01/2024</t>
  </si>
  <si>
    <t xml:space="preserve"> 5.1.9 </t>
  </si>
  <si>
    <t>MONTAGEM E DESMONTAGEM DE FÔRMA DE PILARES RETANGULARES E ESTRUTURAS SIMILARES, PÉ-DIREITO SIMPLES, EM CHAPA DE MADEIRA COMPENSADA RESINADA, 4 UTILIZAÇÕES. AF_09/2020</t>
  </si>
  <si>
    <t xml:space="preserve"> 5.1.10 </t>
  </si>
  <si>
    <t xml:space="preserve"> 5.1.11 </t>
  </si>
  <si>
    <t xml:space="preserve"> 5.1.12 </t>
  </si>
  <si>
    <t>IMPERMEABILIZAÇÃO DE SUPERFÍCIE COM EMULSÃO ASFÁLTICA, 2 DEMÃOS. AF_09/2023</t>
  </si>
  <si>
    <t xml:space="preserve"> 5.2.1 </t>
  </si>
  <si>
    <t>ARMAÇÃO DE PILAR OU VIGA DE ESTRUTURA CONVENCIONAL DE CONCRETO ARMADO UTILIZANDO AÇO CA-50 DE 8,0 MM - MONTAGEM. AF_06/2022</t>
  </si>
  <si>
    <t xml:space="preserve"> 5.2.2 </t>
  </si>
  <si>
    <t>ARMAÇÃO DE PILAR OU VIGA DE ESTRUTURA CONVENCIONAL DE CONCRETO ARMADO UTILIZANDO AÇO CA-60 DE 5,0 MM - MONTAGEM. AF_06/2022</t>
  </si>
  <si>
    <t xml:space="preserve"> 5.2.3 </t>
  </si>
  <si>
    <t xml:space="preserve"> 5.2.4 </t>
  </si>
  <si>
    <t xml:space="preserve"> 5.2.5 </t>
  </si>
  <si>
    <t>FABRICAÇÃO DE FÔRMA PARA VIGAS, EM CHAPA DE MADEIRA COMPENSADA RESINADA, E = 17 MM. AF_09/2020</t>
  </si>
  <si>
    <t xml:space="preserve"> 5.8 </t>
  </si>
  <si>
    <t>REDE LÓGICA</t>
  </si>
  <si>
    <t>SAPATAS</t>
  </si>
  <si>
    <t>ESTRUTURAL AREA LAZER</t>
  </si>
  <si>
    <t>S1</t>
  </si>
  <si>
    <t>S2</t>
  </si>
  <si>
    <t>S3</t>
  </si>
  <si>
    <t>S4</t>
  </si>
  <si>
    <t>S9</t>
  </si>
  <si>
    <t>S10</t>
  </si>
  <si>
    <t>S11</t>
  </si>
  <si>
    <t>S12</t>
  </si>
  <si>
    <t>S13</t>
  </si>
  <si>
    <t>S14</t>
  </si>
  <si>
    <t>S17</t>
  </si>
  <si>
    <t>S18</t>
  </si>
  <si>
    <t>S5</t>
  </si>
  <si>
    <t>VIGAS BALDRAME</t>
  </si>
  <si>
    <t>V1</t>
  </si>
  <si>
    <t>V2</t>
  </si>
  <si>
    <t>V3</t>
  </si>
  <si>
    <t>V4</t>
  </si>
  <si>
    <t>V5</t>
  </si>
  <si>
    <t>V6</t>
  </si>
  <si>
    <t>V7</t>
  </si>
  <si>
    <t>GERAL (m³)</t>
  </si>
  <si>
    <t>S6</t>
  </si>
  <si>
    <t>S7</t>
  </si>
  <si>
    <t>S8</t>
  </si>
  <si>
    <t>S15</t>
  </si>
  <si>
    <t>GERAL (m²)</t>
  </si>
  <si>
    <t>Conforme projeto estrutural</t>
  </si>
  <si>
    <t>Altura  (m)</t>
  </si>
  <si>
    <t>Área vãos  (m²)</t>
  </si>
  <si>
    <t>Área alv (m²)</t>
  </si>
  <si>
    <t>Sala multiuso</t>
  </si>
  <si>
    <t>Transpasse  (m)</t>
  </si>
  <si>
    <t>J1</t>
  </si>
  <si>
    <t>P7</t>
  </si>
  <si>
    <t>TRELIÇAS 3-3</t>
  </si>
  <si>
    <t>Conforme tabela da prancha 2/3 e 3/3 do projeto de estrutura metalica da educação</t>
  </si>
  <si>
    <t>PRANCHA 3-3</t>
  </si>
  <si>
    <t>Pingadeira</t>
  </si>
  <si>
    <t>Área plat (m²)</t>
  </si>
  <si>
    <t>conforme prancha 4-23 ARQ EDUCAÇÃO</t>
  </si>
  <si>
    <t>Área vãos  (m)</t>
  </si>
  <si>
    <t>Perimetro total  (m)</t>
  </si>
  <si>
    <t>Área vãos x 2  (m²)</t>
  </si>
  <si>
    <t xml:space="preserve">lados </t>
  </si>
  <si>
    <t>Platibanda</t>
  </si>
  <si>
    <t xml:space="preserve"> 6.1 </t>
  </si>
  <si>
    <t xml:space="preserve"> 6.1.1 </t>
  </si>
  <si>
    <t>RETIRADA DE GRAMAS DE FORMA MANUAL</t>
  </si>
  <si>
    <t xml:space="preserve"> 6.1.2 </t>
  </si>
  <si>
    <t xml:space="preserve"> 6.1.3 </t>
  </si>
  <si>
    <t xml:space="preserve"> 6.1.4 </t>
  </si>
  <si>
    <t>DEMOLIÇÃO DE MURO DE ALVENARIA - H=1,80 À 2,00M</t>
  </si>
  <si>
    <t xml:space="preserve"> 6.1.5 </t>
  </si>
  <si>
    <t>RETIRADA DE GRADIL, PORTÕES E GUARDA-CORPO</t>
  </si>
  <si>
    <t xml:space="preserve"> 6.1.6 </t>
  </si>
  <si>
    <t>DEMOLIÇÃO DE GUIAS DE CONCRETO</t>
  </si>
  <si>
    <t xml:space="preserve"> 6.1.7 </t>
  </si>
  <si>
    <t>DEMOLICAO DE ESCADAS EXTERNAS EM ALVENARIA/CONCRETO</t>
  </si>
  <si>
    <t>DEMOLIÇÃO DE PAINEIS DE VIDRO</t>
  </si>
  <si>
    <t>REMOÇÃO DE JANELAS, DE FORMA MANUAL, SEM REAPROVEITAMENTO. AF_09/2023</t>
  </si>
  <si>
    <t>REMOÇÃO CALHAS E RUFOS, DE FORMA MANUAL, SEM REAPROVEITAMENTO. AF_09/2023</t>
  </si>
  <si>
    <t xml:space="preserve"> 6.2 </t>
  </si>
  <si>
    <t xml:space="preserve"> 6.2.1 </t>
  </si>
  <si>
    <t xml:space="preserve"> 6.2.1.1 </t>
  </si>
  <si>
    <t>ESTACA BROCA DE CONCRETO, DIÂMETRO DE 30CM, ESCAVAÇÃO MANUAL COM TRADO CONCHA, COM ARMADURA DE ARRANQUE. AF_05/2020</t>
  </si>
  <si>
    <t xml:space="preserve"> 6.2.2 </t>
  </si>
  <si>
    <t xml:space="preserve"> 6.2.2.1 </t>
  </si>
  <si>
    <t>ESTACA BROCA DE CONCRETO, DIÂMETRO DE 20CM, ESCAVAÇÃO MANUAL COM TRADO CONCHA, COM ARMADURA DE ARRANQUE. AF_05/2020</t>
  </si>
  <si>
    <t xml:space="preserve"> 6.3 </t>
  </si>
  <si>
    <t xml:space="preserve"> 6.3.1 </t>
  </si>
  <si>
    <t xml:space="preserve"> 6.3.2 </t>
  </si>
  <si>
    <t>ARMAÇÃO DE PILAR OU VIGA DE ESTRUTURA CONVENCIONAL DE CONCRETO ARMADO UTILIZANDO AÇO CA-50 DE 10,0 MM - MONTAGEM. AF_06/2022</t>
  </si>
  <si>
    <t xml:space="preserve"> 6.3.3 </t>
  </si>
  <si>
    <t>FACHADA FRONTAL</t>
  </si>
  <si>
    <t xml:space="preserve"> 6.3.3.1 </t>
  </si>
  <si>
    <t xml:space="preserve"> 6.3.3.2 </t>
  </si>
  <si>
    <t xml:space="preserve"> 6.4 </t>
  </si>
  <si>
    <t>COBERTURA</t>
  </si>
  <si>
    <t xml:space="preserve"> 6.4.1 </t>
  </si>
  <si>
    <t xml:space="preserve"> 6.4.2 </t>
  </si>
  <si>
    <t xml:space="preserve"> 6.4.3 </t>
  </si>
  <si>
    <t xml:space="preserve"> 6.4.4 </t>
  </si>
  <si>
    <t xml:space="preserve"> 6.4.5 </t>
  </si>
  <si>
    <t>COBERTURA PLACA DE VIDRO LAMINADO 10mm SOBRE ESTRUTURA PRONTA</t>
  </si>
  <si>
    <t xml:space="preserve"> 6.4.6 </t>
  </si>
  <si>
    <t>Revestimento em placa de alumínio composto "ACM", espessura de 4 mm e acabamento em PVDF</t>
  </si>
  <si>
    <t xml:space="preserve"> 6.5 </t>
  </si>
  <si>
    <t xml:space="preserve"> 6.5.1 </t>
  </si>
  <si>
    <t>COBOGO</t>
  </si>
  <si>
    <t xml:space="preserve"> 6.5.1.1 </t>
  </si>
  <si>
    <t>ALVENARIA DE VEDAÇÃO COM ELEMENTO VAZADO DE CERÂMICA (COBOGÓ) DE 7X20X20CM E ARGAMASSA DE ASSENTAMENTO COM PREPARO EM BETONEIRA. AF_05/2020</t>
  </si>
  <si>
    <t xml:space="preserve"> 6.5.1.2 </t>
  </si>
  <si>
    <t xml:space="preserve"> 6.5.2 </t>
  </si>
  <si>
    <t>GRADIL NYLOFOR</t>
  </si>
  <si>
    <t xml:space="preserve"> 6.5.2.1 </t>
  </si>
  <si>
    <t>LASTRO DE CONCRETO MAGRO, APLICADO EM BLOCOS DE COROAMENTO OU SAPATAS, ESPESSURA DE 5 CM. AF_01/2024</t>
  </si>
  <si>
    <t xml:space="preserve"> 6.5.2.2 </t>
  </si>
  <si>
    <t>CONCRETO ARMADO PARA FIXAÇÃO DE POSTES</t>
  </si>
  <si>
    <t xml:space="preserve"> 6.5.2.3 </t>
  </si>
  <si>
    <t>GRADIL NYLOFOR H=2.03 M INCLUSIVE POSTE OU EQUIVALENTE</t>
  </si>
  <si>
    <t xml:space="preserve"> 6.5.3 </t>
  </si>
  <si>
    <t>MURETA</t>
  </si>
  <si>
    <t xml:space="preserve"> 6.5.3.1 </t>
  </si>
  <si>
    <t>MURETA EM ALVENARIA - INCLUSO CHAPISCO E EMBOÇO</t>
  </si>
  <si>
    <t xml:space="preserve"> 6.6 </t>
  </si>
  <si>
    <t xml:space="preserve"> 6.6.1 </t>
  </si>
  <si>
    <t xml:space="preserve"> 6.6.1.1 </t>
  </si>
  <si>
    <t>EXECUÇÃO DE PAVIMENTO EM PISO INTERTRAVADO, COM BLOCO RETANGULAR COLORIDO DE 20 X 10 CM, ESPESSURA 8 CM. AF_10/2022</t>
  </si>
  <si>
    <t xml:space="preserve"> 6.6.1.2 </t>
  </si>
  <si>
    <t>EXECUÇÃO DE PASSEIO (CALÇADA) OU PISO DE CONCRETO COM CONCRETO MOLDADO IN LOCO, FEITO EM OBRA, ACABAMENTO CONVENCIONAL, ESPESSURA 6 CM, ARMADO. AF_08/2022</t>
  </si>
  <si>
    <t xml:space="preserve"> 6.6.1.3 </t>
  </si>
  <si>
    <t>Piso em granito verde Ubatuba</t>
  </si>
  <si>
    <t xml:space="preserve"> 6.6.1.4 </t>
  </si>
  <si>
    <t xml:space="preserve"> 6.6.2 </t>
  </si>
  <si>
    <t xml:space="preserve"> 6.6.2.1 </t>
  </si>
  <si>
    <t>BRISE METALICO DE ALUMINIO CURVO/MOVEL,ASA AVIAO LUXALON 335</t>
  </si>
  <si>
    <t xml:space="preserve"> 6.6.2.2 </t>
  </si>
  <si>
    <t>Vidro laminado 6mm fixos - INCLUSO PERFIS DE ALUMINIO</t>
  </si>
  <si>
    <t xml:space="preserve"> 6.6.3 </t>
  </si>
  <si>
    <t xml:space="preserve"> 6.6.3.1 </t>
  </si>
  <si>
    <t>FORRO EM GESSO ACARTONADO 1,20x22,40m</t>
  </si>
  <si>
    <t xml:space="preserve"> 6.6.3.2 </t>
  </si>
  <si>
    <t>FUNDO SELADOR ACRÍLICO, APLICAÇÃO MANUAL EM TETO, UMA DEMÃO. AF_04/2023</t>
  </si>
  <si>
    <t xml:space="preserve"> 6.6.3.3 </t>
  </si>
  <si>
    <t>EMASSAMENTO COM MASSA LÁTEX, APLICAÇÃO EM TETO, DUAS DEMÃOS, LIXAMENTO MANUAL. AF_04/2023</t>
  </si>
  <si>
    <t xml:space="preserve"> 6.6.3.4 </t>
  </si>
  <si>
    <t>APLICAÇÃO MANUAL DE PINTURA COM TINTA LÁTEX PVA EM TETO, DUAS DEMÃOS. AF_06/2014</t>
  </si>
  <si>
    <t xml:space="preserve"> 6.7 </t>
  </si>
  <si>
    <t xml:space="preserve"> 6.7.1 </t>
  </si>
  <si>
    <t>PINTURA ESTRUTURAS METÁLICAS</t>
  </si>
  <si>
    <t xml:space="preserve"> 6.7.1.1 </t>
  </si>
  <si>
    <t xml:space="preserve"> 6.7.1.2 </t>
  </si>
  <si>
    <t xml:space="preserve"> 6.7.2 </t>
  </si>
  <si>
    <t>PINTURA ESTRUTURAS DE CONCRETO</t>
  </si>
  <si>
    <t xml:space="preserve"> 6.7.2.1 </t>
  </si>
  <si>
    <t xml:space="preserve"> 6.7.2.2 </t>
  </si>
  <si>
    <t xml:space="preserve"> 6.7.3 </t>
  </si>
  <si>
    <t>PINTURA ESTACIONAMENTO</t>
  </si>
  <si>
    <t xml:space="preserve"> 6.7.3.1 </t>
  </si>
  <si>
    <t>PINTURA FAIXA DEMARCACAO ESTACIONAMENTO</t>
  </si>
  <si>
    <t xml:space="preserve"> 6.7.3.2 </t>
  </si>
  <si>
    <t>PINTURA PARA SINALIZAÇÃO DE VAGA DE ESTACIONAMENTO PARA PORTADORES DE NECESSIDADES ESPECIAIS SOBRE PAVIMENTAÇÃO URBANA</t>
  </si>
  <si>
    <t>U</t>
  </si>
  <si>
    <t xml:space="preserve"> 6.8 </t>
  </si>
  <si>
    <t xml:space="preserve"> 6.8.1 </t>
  </si>
  <si>
    <t xml:space="preserve"> 6.8.2 </t>
  </si>
  <si>
    <t>Vidro laminado 6mm de correr - INCLUSO PERFIS DE ALUMINIO</t>
  </si>
  <si>
    <t xml:space="preserve"> 6.8.3 </t>
  </si>
  <si>
    <t>PORTA DE ABRIR DE 02 FOLHAS DE VIDRO PF-9 C/FERRAGENS</t>
  </si>
  <si>
    <t xml:space="preserve"> 6.9 </t>
  </si>
  <si>
    <t>INSTALAÇÕES ELÉTRICAS</t>
  </si>
  <si>
    <t xml:space="preserve"> 6.9.1 </t>
  </si>
  <si>
    <t>ELETRODUTO PVC 1""</t>
  </si>
  <si>
    <t xml:space="preserve"> 6.9.2 </t>
  </si>
  <si>
    <t>ABRACADEIRA GALVANIZADA PARA TUBOS DE 3/4""</t>
  </si>
  <si>
    <t xml:space="preserve"> 6.9.3 </t>
  </si>
  <si>
    <t>ELETRODUTO RÍGIDO ROSCÁVEL, PVC, DN 25 MM (3/4"), PARA CIRCUITOS TERMINAIS, INSTALADO EM FORRO - FORNECIMENTO E INSTALAÇÃO. AF_03/2023</t>
  </si>
  <si>
    <t xml:space="preserve"> 6.9.4 </t>
  </si>
  <si>
    <t>CAIXA RETANGULAR 4" X 2" ALTA (2,00 M DO PISO), PVC, INSTALADA EM PAREDE - FORNECIMENTO E INSTALAÇÃO. AF_03/2023</t>
  </si>
  <si>
    <t xml:space="preserve"> 6.9.5 </t>
  </si>
  <si>
    <t>CAIXA RETANGULAR 4" X 4" ALTA (2,00 M DO PISO), PVC, INSTALADA EM PAREDE - FORNECIMENTO E INSTALAÇÃO. AF_03/2023</t>
  </si>
  <si>
    <t xml:space="preserve"> 6.9.6 </t>
  </si>
  <si>
    <t>CAIXA OCTOGONAL 3" X 3", PVC, INSTALADA EM LAJE - FORNECIMENTO E INSTALAÇÃO. AF_03/2023</t>
  </si>
  <si>
    <t xml:space="preserve"> 6.9.7 </t>
  </si>
  <si>
    <t>LUVA PARA ELETRODUTO, PVC, ROSCÁVEL, DN 25 MM (3/4"), PARA CIRCUITOS TERMINAIS, INSTALADA EM FORRO - FORNECIMENTO E INSTALAÇÃO. AF_03/2023</t>
  </si>
  <si>
    <t xml:space="preserve"> 6.9.8 </t>
  </si>
  <si>
    <t>CABO DE COBRE FLEXÍVEL ISOLADO, 2,5 MM², ANTI-CHAMA 450/750 V, PARA CIRCUITOS TERMINAIS - FORNECIMENTO E INSTALAÇÃO. AF_03/2023</t>
  </si>
  <si>
    <t xml:space="preserve"> 6.9.9 </t>
  </si>
  <si>
    <t>CAIXA DE PASSAGEM EM ALVENARIA 30x30cm</t>
  </si>
  <si>
    <t xml:space="preserve"> 6.9.10 </t>
  </si>
  <si>
    <t>CAIXA DE PASSAGEM EM ALVENARIA DE 0,40X0,40X0,40 M</t>
  </si>
  <si>
    <t xml:space="preserve"> 6.9.11 </t>
  </si>
  <si>
    <t>INTERRUPTOR SIMPLES (6 MÓDULOS), 10A/250V, INCLUINDO SUPORTE E PLACA - FORNECIMENTO E INSTALAÇÃO. AF_03/2023</t>
  </si>
  <si>
    <t xml:space="preserve"> 6.9.12 </t>
  </si>
  <si>
    <t>INTERRUPTOR SIMPLES (1 MÓDULO), 10A/250V, INCLUINDO SUPORTE E PLACA - FORNECIMENTO E INSTALAÇÃO. AF_03/2023</t>
  </si>
  <si>
    <t xml:space="preserve"> 6.9.13 </t>
  </si>
  <si>
    <t>RELE FOTOELETRICO 1200VA RM-10 - 120V OU EQUIVALENTE</t>
  </si>
  <si>
    <t xml:space="preserve"> 6.9.14 </t>
  </si>
  <si>
    <t>DISJUNTOR MONOPOLAR TIPO DIN, CORRENTE NOMINAL DE 20A - FORNECIMENTO E INSTALAÇÃO. AF_10/2020</t>
  </si>
  <si>
    <t xml:space="preserve"> 6.9.15 </t>
  </si>
  <si>
    <t>ELETRODUTO FLEXÍVEL CORRUGADO REFORÇADO, PVC, DN 25 MM (3/4"), PARA CIRCUITOS TERMINAIS, INSTALADO EM FORRO - FORNECIMENTO E INSTALAÇÃO. AF_03/2023_PA</t>
  </si>
  <si>
    <t xml:space="preserve"> 6.9.16 </t>
  </si>
  <si>
    <t>ELETRODUTO GALVANIZADO NBR 5597 20mm 3/4""</t>
  </si>
  <si>
    <t xml:space="preserve"> 6.9.17 </t>
  </si>
  <si>
    <t>Luminária tipo Downlight de Sobrepor 70,5W Preta - EF42-S8000840 Lumicenter ou similar - fornecimento e instalação</t>
  </si>
  <si>
    <t xml:space="preserve"> 6.9.18 </t>
  </si>
  <si>
    <t>SPOT EMBUTIR SOLO COM GRADE PARA 1 LMPADA PAR20/30/38 PRETO</t>
  </si>
  <si>
    <t xml:space="preserve"> 6.9.19 </t>
  </si>
  <si>
    <t>ESPETO DE JARDIM LED 5W LUZ BRANCO QUENTE BIVOLT - FORNECIMENTO E INSTALACAO</t>
  </si>
  <si>
    <t xml:space="preserve"> 6.9.20 </t>
  </si>
  <si>
    <t>FITA DE LED SILICONADA, 120 LEDS POR METRO, POTʎCIA 9,6 W/M</t>
  </si>
  <si>
    <t xml:space="preserve"> 6.9.21 </t>
  </si>
  <si>
    <t>PERFIL LED DE SOBREPOR, ACABAMENTO ANODIZADO NATURAL, BRANCO OU PRETO, DIFUSOR EM POLICARBONATO LEITOSO, 17X7MM, DA EFFECT LED OU SIMILAR, INCLUSO OS FIXADORES (EXCLUSIVE FITAS LED) - FORNECIMENTO E INSTALACAO</t>
  </si>
  <si>
    <t xml:space="preserve"> 6.9.22 </t>
  </si>
  <si>
    <t>Luminária fechada em LED p/ilumin pública, 2 pétalas, modelo LPL ÁTON 60, 60w cada, corpo alumínio INJETADO, 5.000k, IP66, 120v a 277v, 50/60 Hz, vida útil 70.000hs, fator pot.&gt;0,95, Ilumatic ou similar, inclusive poste cônico contínuo de aço reto, 6m - Fornecimento e instalação</t>
  </si>
  <si>
    <t xml:space="preserve"> 6.10 </t>
  </si>
  <si>
    <t xml:space="preserve"> 6.10.1 </t>
  </si>
  <si>
    <t xml:space="preserve"> 6.10.2 </t>
  </si>
  <si>
    <t xml:space="preserve"> 6.10.3 </t>
  </si>
  <si>
    <t>CORRIMAO DUPLO EM TUBO DE ACO INOX COM DIAMETRO DE 1.1/2",BA RRA SUPERIOR COM ALTURA DE 92CM E BARRA INFERIOR COM ALTURA DE 70CM,FIXADO NA PAREDE POR CHUMBADORES,CONFORME ABNT NBR 9050 PARA ACESSIBILIDADE.FORNECIMENTO E COLOCACAO</t>
  </si>
  <si>
    <t xml:space="preserve"> 6.10.4 </t>
  </si>
  <si>
    <t>CORRIMAO DUPLO EM TUBO DE ACO INOX COM DIAMETRO DE 1.1/2",BA RRA SUPERIOR COM ALTURA DE 92CM E BARRA INFERIOR COM ALTURA DE 70CM,FIXADO EM GUARDA-CORPO COM MONTANTES DE ACO INOX COM DIAMETRO DE 1.1/2" E 3 TUBOS DE ACO INOX,HORIZONTAIS,COM DI AMETRO DE 1",CONFORME ABNT NBR 9050 PARA ACESSIBILIDADE.FORN ECIMENTO E COLOCACAO</t>
  </si>
  <si>
    <t xml:space="preserve"> 6.10.5 </t>
  </si>
  <si>
    <t>MURETA PARA JARDINEIRA 0,70m x 0,10m</t>
  </si>
  <si>
    <t xml:space="preserve"> 6.11 </t>
  </si>
  <si>
    <t>PAISAGISMO</t>
  </si>
  <si>
    <t xml:space="preserve"> 6.11.1 </t>
  </si>
  <si>
    <t>PLANTIO DE GRAMA ESMERALDA OU SÃO CARLOS OU CURITIBANA, EM PLACAS. AF_07/2024</t>
  </si>
  <si>
    <t xml:space="preserve"> 6.11.2 </t>
  </si>
  <si>
    <t>Planta - Palmeira cica (cyca revoluta) h=1,00m, fornecimento e plantio</t>
  </si>
  <si>
    <t xml:space="preserve"> 6.11.3 </t>
  </si>
  <si>
    <t>Planta - Ixora rei vermelha (ixora coccinea red), fornecimento e plantio</t>
  </si>
  <si>
    <t xml:space="preserve"> 6.11.4 </t>
  </si>
  <si>
    <t>Planta - Palmeira Areca (alt=1,00m), fornecimento e plantio</t>
  </si>
  <si>
    <t xml:space="preserve"> 6.11.5 </t>
  </si>
  <si>
    <t>Planta - Agave (agave angustifolia), fornecimento e plantio</t>
  </si>
  <si>
    <t>PRANCHA 1-11 ARQ ENTRADA PRINCIPAL</t>
  </si>
  <si>
    <t>CALÇADA</t>
  </si>
  <si>
    <t>ESCADA LATERAL</t>
  </si>
  <si>
    <t xml:space="preserve">RAMPA GRANDE </t>
  </si>
  <si>
    <t>RAMPA LATERAL</t>
  </si>
  <si>
    <t>ENTRADA AUDITORIO</t>
  </si>
  <si>
    <t xml:space="preserve">ESTACIONAMENTO ESQUERDO </t>
  </si>
  <si>
    <t>PROXIMO RAMPA LATERAL</t>
  </si>
  <si>
    <t xml:space="preserve">PASSARELA </t>
  </si>
  <si>
    <t>PROXIMO A RAMPA A SER DEMOLIDA</t>
  </si>
  <si>
    <t>ESTACIONAMENTO DIREITO</t>
  </si>
  <si>
    <t>ENTRADA SUBSOLO</t>
  </si>
  <si>
    <t xml:space="preserve">NUTRIÇÃO </t>
  </si>
  <si>
    <t>MURO FRONTAL</t>
  </si>
  <si>
    <t>GRADIL FRONTAL</t>
  </si>
  <si>
    <t>GRADE SUBSOLO</t>
  </si>
  <si>
    <t>PROXIMO GUARITA</t>
  </si>
  <si>
    <t xml:space="preserve">PROXIMO A PASSARELA </t>
  </si>
  <si>
    <t>PROXIMO A RAMPA LATERAL</t>
  </si>
  <si>
    <t xml:space="preserve">PROXIMO AO PORTÃO DA RAMPA </t>
  </si>
  <si>
    <t>PROXIMO AO SUBSOLO</t>
  </si>
  <si>
    <t xml:space="preserve"> 6.1.8</t>
  </si>
  <si>
    <t xml:space="preserve"> 6.1.9</t>
  </si>
  <si>
    <t xml:space="preserve"> 6.1.10</t>
  </si>
  <si>
    <t xml:space="preserve"> 6.1.11</t>
  </si>
  <si>
    <t xml:space="preserve"> 6.1.12</t>
  </si>
  <si>
    <t xml:space="preserve"> 6.1.13</t>
  </si>
  <si>
    <t xml:space="preserve"> 6.1.14</t>
  </si>
  <si>
    <t xml:space="preserve"> 6.1.15</t>
  </si>
  <si>
    <t xml:space="preserve"> 6.1.16</t>
  </si>
  <si>
    <t xml:space="preserve"> 6.1.17</t>
  </si>
  <si>
    <t>ENTRADA PRINCIPAL</t>
  </si>
  <si>
    <t>PV1</t>
  </si>
  <si>
    <t>PV2</t>
  </si>
  <si>
    <t>PAREDES GUARITA</t>
  </si>
  <si>
    <t>JARDINEIRA</t>
  </si>
  <si>
    <t>PISO GUARITA</t>
  </si>
  <si>
    <t>GUARITA</t>
  </si>
  <si>
    <t>GUINCHÊ</t>
  </si>
  <si>
    <t xml:space="preserve"> 6.1.18</t>
  </si>
  <si>
    <t xml:space="preserve"> 6.1.19</t>
  </si>
  <si>
    <t>M²</t>
  </si>
  <si>
    <t>Demolição de piso, soleira, peitoris e escadas em mármore ou granito, exclusive regularização</t>
  </si>
  <si>
    <t>PERGOLADO</t>
  </si>
  <si>
    <t>PONTO DE ÔNIBUS</t>
  </si>
  <si>
    <t xml:space="preserve"> 6.1.20</t>
  </si>
  <si>
    <t>ESCADA PRINCIPAL</t>
  </si>
  <si>
    <t>Comp total (m)</t>
  </si>
  <si>
    <t>PILARES PERGOLADO</t>
  </si>
  <si>
    <t>ESCADA ENTRADA PRINCIPAL</t>
  </si>
  <si>
    <t xml:space="preserve"> Total (m²)</t>
  </si>
  <si>
    <t xml:space="preserve"> 6.1.21</t>
  </si>
  <si>
    <t>DEMOLIÇÃO DE REVESTIMENTO CERÂMICO, DE FORMA MANUAL, SEM REAPROVEITAMENTO. AF_09/2023</t>
  </si>
  <si>
    <t>PROJETO ANTIGO PRANCHA 048</t>
  </si>
  <si>
    <t>ENTRADA PRINCIPAL PISO</t>
  </si>
  <si>
    <t>METÁLICA-SESC-ENTRADA_PRINCIPAL-R01 1-4</t>
  </si>
  <si>
    <t xml:space="preserve"> Total (m)</t>
  </si>
  <si>
    <t>Conforme tabela da prancha 1/4 do projeto de estrutura metalica da da entrada principal</t>
  </si>
  <si>
    <t xml:space="preserve"> 6.2.1.2</t>
  </si>
  <si>
    <t xml:space="preserve"> 6.2.1.3</t>
  </si>
  <si>
    <t xml:space="preserve"> 6.2.1.4</t>
  </si>
  <si>
    <t>METÁLICA-SESC-ENTRADA_PRINCIPAL-R01 2-4</t>
  </si>
  <si>
    <t>P1 AO P14</t>
  </si>
  <si>
    <t xml:space="preserve"> 6.3.2.1</t>
  </si>
  <si>
    <t xml:space="preserve"> 6.3.1.1</t>
  </si>
  <si>
    <t xml:space="preserve"> 6.3.1.2</t>
  </si>
  <si>
    <t xml:space="preserve"> 6.3.1.3</t>
  </si>
  <si>
    <t xml:space="preserve"> 6.3.1.4</t>
  </si>
  <si>
    <t>TRELIÇA 3</t>
  </si>
  <si>
    <t xml:space="preserve"> 6.3.1.5</t>
  </si>
  <si>
    <t>TERÇAS</t>
  </si>
  <si>
    <t xml:space="preserve">VIGAS E TRELIÇAS </t>
  </si>
  <si>
    <t>PILARES</t>
  </si>
  <si>
    <t>Conforme tabelas da prancha 3/4 do projeto de estrutural de concreto armado da entrada principal</t>
  </si>
  <si>
    <t>VIGA PERGOLADO</t>
  </si>
  <si>
    <t xml:space="preserve"> 6.3.2.2</t>
  </si>
  <si>
    <t xml:space="preserve"> 6.3.2.3</t>
  </si>
  <si>
    <t xml:space="preserve"> 6.3.2.4</t>
  </si>
  <si>
    <t xml:space="preserve"> 6.3.2.5</t>
  </si>
  <si>
    <t xml:space="preserve"> 6.3.2.6</t>
  </si>
  <si>
    <t xml:space="preserve"> 6.3.2.7</t>
  </si>
  <si>
    <t xml:space="preserve">Conforme Proj. Cobert. Met. Fachada Principal Rev.001 da primeira entrega </t>
  </si>
  <si>
    <t>TERÇAS E ESTRUTURA PLATIBANDA</t>
  </si>
  <si>
    <t>VIGA 320X200 #6.3</t>
  </si>
  <si>
    <t>Telhado entrada principal</t>
  </si>
  <si>
    <t xml:space="preserve">Telhado rampa </t>
  </si>
  <si>
    <t>Area (m²)</t>
  </si>
  <si>
    <t>Pergolado</t>
  </si>
  <si>
    <t>Entrada principal</t>
  </si>
  <si>
    <t>Entrada nutrição</t>
  </si>
  <si>
    <t>Area x 2 (m²)</t>
  </si>
  <si>
    <t>G1</t>
  </si>
  <si>
    <t>ARQUITETURA-SESC-ENTRADA_PRINCIPAL-R014 3-11</t>
  </si>
  <si>
    <t>G2</t>
  </si>
  <si>
    <t>G3</t>
  </si>
  <si>
    <t>G4</t>
  </si>
  <si>
    <t>G5</t>
  </si>
  <si>
    <t>G6</t>
  </si>
  <si>
    <t>G7</t>
  </si>
  <si>
    <t>ESPAÇAMENTO ENTRE CONCRETOS (m)</t>
  </si>
  <si>
    <t>COMPRIMENTO GRADIL TOTAL</t>
  </si>
  <si>
    <t>QTD CONCRETOS</t>
  </si>
  <si>
    <t>Volume total (m³)</t>
  </si>
  <si>
    <t>Area  total (m²)</t>
  </si>
  <si>
    <t>Conforme quantitativo do projeto PAISAGISMO-SESC-ENTRADA_PRINCIPAL-R01</t>
  </si>
  <si>
    <t>ACESSO</t>
  </si>
  <si>
    <t>Lateral nutrição</t>
  </si>
  <si>
    <t>Frente nutrição</t>
  </si>
  <si>
    <t>Entrada ao lado dos gradis frontais</t>
  </si>
  <si>
    <t xml:space="preserve">valor descontando as portas </t>
  </si>
  <si>
    <t>CVS 320X200</t>
  </si>
  <si>
    <t>ÁREA X 2 (m²)</t>
  </si>
  <si>
    <t>GRADIL</t>
  </si>
  <si>
    <t>MURETAS GRADIL</t>
  </si>
  <si>
    <t>Área x 2 (m²)</t>
  </si>
  <si>
    <t>ESTACIONAMENTO</t>
  </si>
  <si>
    <t>Conforme projeto ARQUITETURA-SESC-ENTRADA_PRINCIPAL-R014 3-11</t>
  </si>
  <si>
    <t>PORTÃO SUBSOLO</t>
  </si>
  <si>
    <t>PORTÃO ACESSO LATERAL</t>
  </si>
  <si>
    <t>ENTRADA FACHADA FRONTAL</t>
  </si>
  <si>
    <t>ENTRADA NUTRIÇÃO</t>
  </si>
  <si>
    <t>CONFORME PROJETOS ELÉTRICO-SESC-ENTRADA_PRINCIPAL-R01 1-2 E 2-2</t>
  </si>
  <si>
    <t>RAMPA A CONSTRUIR</t>
  </si>
  <si>
    <t>JARDINEIRA 1</t>
  </si>
  <si>
    <t>JARDINEIRA 2</t>
  </si>
  <si>
    <t>JARDINEIRA 6</t>
  </si>
  <si>
    <t>JARDINEIRA 3</t>
  </si>
  <si>
    <t>JARDINEIRA 4</t>
  </si>
  <si>
    <t>JARDINEIRA 5</t>
  </si>
  <si>
    <t>JARDINEIRA 7</t>
  </si>
  <si>
    <t>JARDINEIRA 8</t>
  </si>
  <si>
    <t>JARDINEIRA 9</t>
  </si>
  <si>
    <t>JARDINEIRA 10</t>
  </si>
  <si>
    <t>JARDINEIRA 11</t>
  </si>
  <si>
    <t>JARDINEIRA 12</t>
  </si>
  <si>
    <t>JARDINEIRA 13</t>
  </si>
  <si>
    <t>JARDINEIRA 14</t>
  </si>
  <si>
    <t>JARDINEIRA 15</t>
  </si>
  <si>
    <t>JARDINEIRA 16</t>
  </si>
  <si>
    <t>CONFORME PROJETO PAISAGISMO-SESC-ENTRADA_PRINCIPAL-R01 1-1</t>
  </si>
  <si>
    <t xml:space="preserve"> 6.12</t>
  </si>
  <si>
    <t>CONFORME PROJETO PLUVIAL-SESC-ENTRADA_PRINCIPAL-R01 2-2 E 1-2</t>
  </si>
  <si>
    <t xml:space="preserve"> 6.12.1</t>
  </si>
  <si>
    <t xml:space="preserve"> 6.12.2 </t>
  </si>
  <si>
    <t xml:space="preserve"> 6.12.3 </t>
  </si>
  <si>
    <t xml:space="preserve"> 6.12.4 </t>
  </si>
  <si>
    <t xml:space="preserve"> 6.12.5 </t>
  </si>
  <si>
    <t>JOELHO 45 GRAUS, PVC, SERIE R, ÁGUA PLUVIAL, DN 150 MM, JUNTA ELÁSTICA, FORNECIDO E INSTALADO EM CONDUTORES VERTICAIS DE ÁGUAS PLUVIAIS. AF_06/2022</t>
  </si>
  <si>
    <t>JOELHO 90 GRAUS, PVC, SERIE R, ÁGUA PLUVIAL, DN 150 MM, JUNTA ELÁSTICA, FORNECIDO E INSTALADO EM CONDUTORES VERTICAIS DE ÁGUAS PLUVIAIS. AF_06/2022</t>
  </si>
  <si>
    <t>JUNÇÃO SIMPLES, PVC, SERIE R, ÁGUA PLUVIAL, DN 150 X 150 MM, JUNTA ELÁSTICA, FORNECIDO E INSTALADO EM CONDUTORES VERTICAIS DE ÁGUAS PLUVIAIS. AF_06/2022</t>
  </si>
  <si>
    <t>LUVA SIMPLES, PVC, SERIE R, ÁGUA PLUVIAL, DN 150 MM, JUNTA ELÁSTICA, FORNECIDO E INSTALADO EM CONDUTORES VERTICAIS DE ÁGUAS PLUVIAIS. AF_06/2022</t>
  </si>
  <si>
    <t>9.1</t>
  </si>
  <si>
    <t>9.2</t>
  </si>
  <si>
    <t>EXECUÇÃO DE PASSEIO (CALÇADA) OU PISO DE CONCRETO COM CONCRETO MOLDADO IN LOCO, FEITO EM OBRA, ACABAMENTO CONVENCIONAL, NÃO ARMADO. AF_08/2022</t>
  </si>
  <si>
    <t xml:space="preserve"> 8.5.2 </t>
  </si>
  <si>
    <t>ARMACAO EM TELA DE ACO SOLDADA NERVURADA Q-138, ACO CA-50, 10 MM.</t>
  </si>
  <si>
    <t xml:space="preserve"> 8.5.1 </t>
  </si>
  <si>
    <t xml:space="preserve"> 8.5 </t>
  </si>
  <si>
    <t>IMPERMEABILIZAÇÃO DE SUPERFÍCIE COM ARGAMASSA DE CIMENTO E AREIA, COM ADITIVO IMPERMEABILIZANTE, E = 1,5CM. AF_09/2023</t>
  </si>
  <si>
    <t xml:space="preserve"> 8.4.3 </t>
  </si>
  <si>
    <t>CHAPISCO APLICADO EM ALVENARIA (SEM PRESENÇA DE VÃOS) E ESTRUTURAS DE CONCRETO DE FACHADA, COM COLHER DE PEDREIRO.  ARGAMASSA TRAÇO 1:3 COM PREPARO MANUAL. AF_10/2022</t>
  </si>
  <si>
    <t xml:space="preserve"> 8.4.2 </t>
  </si>
  <si>
    <t>ALVENARIA DE VEDAÇÃO DE BLOCOS CERÂMICOS FURADOS NA HORIZONTAL DE 9X14X19 CM (ESPESSURA 9 CM) E ARGAMASSA DE ASSENTAMENTO COM PREPARO MANUAL. AF_12/2021</t>
  </si>
  <si>
    <t xml:space="preserve"> 8.4.1 </t>
  </si>
  <si>
    <t>REINSTALAÇÃO DE TELHAMENTO COM TELHA ESTRUTURAL DE FIBROCIMENTO - EXCLUSIVE MATERIAL</t>
  </si>
  <si>
    <t xml:space="preserve"> 8.3.4 </t>
  </si>
  <si>
    <t>TRAMA DE AÇO COMPOSTA POR TERÇAS PARA TELHADOS DE ATÉ 2 ÁGUAS PARA TELHA ONDULADA DE FIBROCIMENTO, METÁLICA, PLÁSTICA OU TERMOACÚSTICA, INCLUSO TRANSPORTE VERTICAL. AF_07/2019</t>
  </si>
  <si>
    <t xml:space="preserve"> 8.3.3 </t>
  </si>
  <si>
    <t>Viga metálica, em perfil UDC150x50x4,75, para travamento de colunas ou apoio e alvenarias,  pintura 01 demão epoxi fundo óxido ferro + 02 demãos esmalte epoxi branco</t>
  </si>
  <si>
    <t xml:space="preserve"> 8.3.2 </t>
  </si>
  <si>
    <t xml:space="preserve"> 8.3.1 </t>
  </si>
  <si>
    <t xml:space="preserve"> 8.2.2 </t>
  </si>
  <si>
    <t xml:space="preserve"> 8.2.1 </t>
  </si>
  <si>
    <t>REMOÇÃO DE TELHAS DE FIBROCIMENTO METÁLICA E CERÂMICA, DE FORMA MANUAL, SEM REAPROVEITAMENTO. AF_09/2023</t>
  </si>
  <si>
    <t xml:space="preserve"> 8.1.3 </t>
  </si>
  <si>
    <t xml:space="preserve"> 8.1.2 </t>
  </si>
  <si>
    <t xml:space="preserve"> 8.1.1 </t>
  </si>
  <si>
    <t>GRUPO GERADOR</t>
  </si>
  <si>
    <t>Planta - Moreia (Dietes bicolor), fornecimento e plantio</t>
  </si>
  <si>
    <t>Pç</t>
  </si>
  <si>
    <t>Perfilado perfurado 38x38m (3m)</t>
  </si>
  <si>
    <t xml:space="preserve"> 5.8.8 </t>
  </si>
  <si>
    <t xml:space="preserve"> 5.8.7 </t>
  </si>
  <si>
    <t>PLACA 2X4" COM FURO CENTRAL PARA TOMADA JACK</t>
  </si>
  <si>
    <t xml:space="preserve"> 5.8.6 </t>
  </si>
  <si>
    <t>CABO ELETRÔNICO CATEGORIA 6, INSTALADO EM EDIFICAÇÃO INSTITUCIONAL - FORNECIMENTO E INSTALAÇÃO. AF_11/2019</t>
  </si>
  <si>
    <t xml:space="preserve"> 5.8.5 </t>
  </si>
  <si>
    <t>LUVA PARA ELETRODUTO, PVC, ROSCÁVEL, DN 32 MM (1"), PARA CIRCUITOS TERMINAIS, INSTALADA EM FORRO - FORNECIMENTO E INSTALAÇÃO. AF_03/2023</t>
  </si>
  <si>
    <t xml:space="preserve"> 5.8.4 </t>
  </si>
  <si>
    <t>CAIXA RETANGULAR 4" X 2" BAIXA (0,30 M DO PISO), METÁLICA, INSTALADA EM PAREDE - FORNECIMENTO E INSTALAÇÃO. AF_03/2023</t>
  </si>
  <si>
    <t xml:space="preserve"> 5.8.3 </t>
  </si>
  <si>
    <t xml:space="preserve"> 5.8.2 </t>
  </si>
  <si>
    <t>PATCH CORD RJ45 - 2,5M</t>
  </si>
  <si>
    <t xml:space="preserve"> 5.8.1 </t>
  </si>
  <si>
    <t>LUMINARIA TIPO PLAFON COM PAINEL LED, 30X30CM, EMBUTIR, POTENCIA DE 24W, 4000K, LUZ NEUTRA, ELGIN OU SIMILAR - FORNECIMENTO E INSTALACAO</t>
  </si>
  <si>
    <t>Luminária tipo Downlight de Sobrepor 15W Preta</t>
  </si>
  <si>
    <t>ELETRODUTO GALVANIZADO 3/4""</t>
  </si>
  <si>
    <t>ELETRODUTO PVC 3/4""</t>
  </si>
  <si>
    <t>ELETRODUTO FLEXÍVEL CORRUGADO, PVC, DN 25 MM (3/4"), PARA CIRCUITOS TERMINAIS, INSTALADO EM FORRO - FORNECIMENTO E INSTALAÇÃO. AF_03/2023_PA</t>
  </si>
  <si>
    <t>DISJUNTOR MONOPOLAR TIPO NEMA, CORRENTE NOMINAL DE 35 ATÉ 50A - FORNECIMENTO E INSTALAÇÃO. AF_10/2020</t>
  </si>
  <si>
    <t>TOMADA BAIXA DE EMBUTIR (2 MÓDULOS), 2P+T 10 A, INCLUINDO SUPORTE E PLACA - FORNECIMENTO E INSTALAÇÃO. AF_03/2023</t>
  </si>
  <si>
    <t>TOMADA BAIXA DE EMBUTIR (1 MÓDULO), 2P+T 10 A, INCLUINDO SUPORTE E PLACA - FORNECIMENTO E INSTALAÇÃO. AF_03/2023</t>
  </si>
  <si>
    <t>INTERRUPTOR SIMPLES (3 MÓDULOS), 10A/250V, INCLUINDO SUPORTE E PLACA - FORNECIMENTO E INSTALAÇÃO. AF_03/2023</t>
  </si>
  <si>
    <t>INTERRUPTOR SIMPLES (2 MÓDULOS), 10A/250V, INCLUINDO SUPORTE E PLACA - FORNECIMENTO E INSTALAÇÃO. AF_03/2023</t>
  </si>
  <si>
    <t>AR CONDICIONADO SPLIT ON/OFF, CASSETE (TETO), FRIO 4 VIAS 60000 BTU/H - FORNECIMENTO E INSTALAÇÃO. AF_11/2021_PE</t>
  </si>
  <si>
    <t>AR CONDICIONADO SPLIT INVERTER, PISO TETO, 36000 BTU/H, CICLO FRIO - FORNECIMENTO E INSTALAÇÃO. AF_11/2021_PSE</t>
  </si>
  <si>
    <t>CABO DE COBRE FLEXÍVEL ISOLADO, 16 MM², ANTI-CHAMA 0,6/1,0 KV, PARA CIRCUITOS TERMINAIS - FORNECIMENTO E INSTALAÇÃO. AF_03/2023</t>
  </si>
  <si>
    <t>CABO DE COBRE FLEXÍVEL ISOLADO, 4 MM², ANTI-CHAMA 450/750 V, PARA CIRCUITOS TERMINAIS - FORNECIMENTO E INSTALAÇÃO. AF_03/2023</t>
  </si>
  <si>
    <t>LUVA PARA ELETRODUTO, PVC, ROSCÁVEL, DN 25 MM (3/4"), PARA CIRCUITOS TERMINAIS, INSTALADA EM PAREDE - FORNECIMENTO E INSTALAÇÃO. AF_03/2023</t>
  </si>
  <si>
    <t>CAIXA RETANGULAR 4" X 2" BAIXA (0,30 M DO PISO), PVC, INSTALADA EM PAREDE - FORNECIMENTO E INSTALAÇÃO. AF_03/2023</t>
  </si>
  <si>
    <t>CAIXA RETANGULAR 4" X 2" MÉDIA (1,30 M DO PISO), PVC, INSTALADA EM PAREDE - FORNECIMENTO E INSTALAÇÃO. AF_03/2023</t>
  </si>
  <si>
    <t>LUMINÁRIA PLAFON LED QUADRADA DE EMBUTIR, 45W, 60X60 CM (MEDIDAS APROXIMADAS) - INCLUSO CORTE NO FORRO</t>
  </si>
  <si>
    <t xml:space="preserve"> 3.9.8 </t>
  </si>
  <si>
    <t>ELETRODUTO PVC 2""</t>
  </si>
  <si>
    <t xml:space="preserve"> 3.9.7 </t>
  </si>
  <si>
    <t xml:space="preserve"> 3.9.6 </t>
  </si>
  <si>
    <t xml:space="preserve"> 3.9.5 </t>
  </si>
  <si>
    <t xml:space="preserve"> 3.9.4 </t>
  </si>
  <si>
    <t xml:space="preserve"> 3.9.3 </t>
  </si>
  <si>
    <t>PATCH PANEL 24 PORTAS, CATEGORIA 6 - FORNECIMENTO E INSTALAÇÃO. AF_11/2019</t>
  </si>
  <si>
    <t xml:space="preserve"> 3.9.2 </t>
  </si>
  <si>
    <t xml:space="preserve"> 3.9.1 </t>
  </si>
  <si>
    <t xml:space="preserve"> 3.9 </t>
  </si>
  <si>
    <t xml:space="preserve"> 3.8.17 </t>
  </si>
  <si>
    <t xml:space="preserve"> 3.8.16 </t>
  </si>
  <si>
    <t xml:space="preserve"> 3.8.15 </t>
  </si>
  <si>
    <t>DISJUNTOR MONOPOLAR TIPO DIN, CORRENTE NOMINAL DE 25A - FORNECIMENTO E INSTALAÇÃO. AF_10/2020</t>
  </si>
  <si>
    <t xml:space="preserve"> 3.8.14 </t>
  </si>
  <si>
    <t xml:space="preserve"> 3.8.13 </t>
  </si>
  <si>
    <t>DISJUNTOR MONOPOLAR TIPO DIN, CORRENTE NOMINAL DE 16A - FORNECIMENTO E INSTALAÇÃO. AF_10/2020</t>
  </si>
  <si>
    <t xml:space="preserve"> 3.8.12 </t>
  </si>
  <si>
    <t xml:space="preserve"> 3.8.11 </t>
  </si>
  <si>
    <t xml:space="preserve"> 3.8.10 </t>
  </si>
  <si>
    <t xml:space="preserve"> 3.8.9 </t>
  </si>
  <si>
    <t>AR CONDICIONADO SPLIT INVERTER, PISO TETO, 24000 BTU/H, QUENTE/FRIO - FORNECIMENTO E INSTALAÇÃO. AF_11/2021_PSE</t>
  </si>
  <si>
    <t xml:space="preserve"> 3.8.8 </t>
  </si>
  <si>
    <t xml:space="preserve"> 3.8.7 </t>
  </si>
  <si>
    <t xml:space="preserve"> 3.8.6 </t>
  </si>
  <si>
    <t xml:space="preserve"> 3.8.5 </t>
  </si>
  <si>
    <t xml:space="preserve"> 3.8.4 </t>
  </si>
  <si>
    <t xml:space="preserve"> 3.8.3 </t>
  </si>
  <si>
    <t xml:space="preserve"> 3.8.2 </t>
  </si>
  <si>
    <t xml:space="preserve"> 3.8.1 </t>
  </si>
  <si>
    <t>Total</t>
  </si>
  <si>
    <t>Valor Unit com BDI</t>
  </si>
  <si>
    <t>Valor Unit</t>
  </si>
  <si>
    <t>Banco</t>
  </si>
  <si>
    <t>Código</t>
  </si>
  <si>
    <t>Desonerado: embutido nos preços unitário dos insumos de mão de obra, de acordo com as bases.</t>
  </si>
  <si>
    <t>29,0%</t>
  </si>
  <si>
    <t xml:space="preserve">REFORMA E AMPLIAÇÃO CENTRO DE ATIVIDADES DE PALMAS </t>
  </si>
  <si>
    <t>Encargos Sociais</t>
  </si>
  <si>
    <t>B.D.I.</t>
  </si>
  <si>
    <t>Bancos</t>
  </si>
  <si>
    <t>Obra</t>
  </si>
  <si>
    <t xml:space="preserve"> 3.8</t>
  </si>
  <si>
    <t>CONFORME TABELA DO PROJETO ELÉTRICO-SESC-BLOCO_EDUCAÇÃO-R01 1-2</t>
  </si>
  <si>
    <t xml:space="preserve">REDE LÓGICA </t>
  </si>
  <si>
    <t>CONFORME TABELA DO PROJETO CABEAMENTO-SESC-BLOCO_EDUCAÇÃO-R01 1-2</t>
  </si>
  <si>
    <t>CONFORME TABELA DO PROJETO ELÉTRICO-SESC-BLOCO_EDUCAÇÃO-R01 2-2</t>
  </si>
  <si>
    <t>CONFORME TABELA DO PROJETO CABEAMENTO-SESC-BLOCO_EDUCAÇÃO-R01 2-2</t>
  </si>
  <si>
    <t>kg/m</t>
  </si>
  <si>
    <t>PERFIL 100X50X2</t>
  </si>
  <si>
    <t>AÇO</t>
  </si>
  <si>
    <t>Compr total X 2(m)</t>
  </si>
  <si>
    <t>Total (kg)</t>
  </si>
  <si>
    <t>GERADOR</t>
  </si>
  <si>
    <t>TRAMAS</t>
  </si>
  <si>
    <t>TELA AÇO</t>
  </si>
  <si>
    <t>PISO ARMADO</t>
  </si>
  <si>
    <t>PISO RESERVATORIO</t>
  </si>
  <si>
    <t>RESERVA PARA FUTURAS MUDANÇAS</t>
  </si>
  <si>
    <t>ÁREA TOTAL (m²)</t>
  </si>
  <si>
    <t>MARGEM (%)</t>
  </si>
  <si>
    <t>RESERVA DE MATERIAL - BDI DIFERENCIADO REVESTIMENTO EM PORCELANATO 100X100 CM MUNICH SGR NAT 6060955A PORTINARI</t>
  </si>
  <si>
    <t xml:space="preserve">1 CAÇAMBA POR SEMANA </t>
  </si>
  <si>
    <t xml:space="preserve"> 3.10</t>
  </si>
  <si>
    <t>DRENOS</t>
  </si>
  <si>
    <t xml:space="preserve"> 3.10.1 </t>
  </si>
  <si>
    <t>TUBO, PVC, SOLDÁVEL, DE 40MM, INSTALADO EM PRUMADA DE ÁGUA - FORNECIMENTO E INSTALAÇÃO. AF_06/2022</t>
  </si>
  <si>
    <t xml:space="preserve"> 3.10.2 </t>
  </si>
  <si>
    <t>CURVA 90 GRAUS, PVC, SOLDÁVEL, DN 32MM, INSTALADO EM PRUMADA DE ÁGUA - FORNECIMENTO E INSTALAÇÃO. AF_06/2022</t>
  </si>
  <si>
    <t xml:space="preserve"> 3.10.3 </t>
  </si>
  <si>
    <t>CURVA 90 GRAUS, PVC, SOLDÁVEL, DN 25MM, INSTALADO EM PRUMADA DE ÁGUA - FORNECIMENTO E INSTALAÇÃO. AF_06/2022</t>
  </si>
  <si>
    <t xml:space="preserve"> 3.10.4 </t>
  </si>
  <si>
    <t>JOELHO 45 GRAUS, PVC, SOLDÁVEL, DN 25MM, INSTALADO EM DRENO DE AR-CONDICIONADO - FORNECIMENTO E INSTALAÇÃO. AF_08/2022</t>
  </si>
  <si>
    <t xml:space="preserve"> 3.10.5 </t>
  </si>
  <si>
    <t>JOELHO 90 GRAUS, PVC, SOLDÁVEL, DN 25MM, INSTALADO EM DRENO DE AR-CONDICIONADO - FORNECIMENTO E INSTALAÇÃO. AF_08/2022</t>
  </si>
  <si>
    <t xml:space="preserve"> 3.10.6 </t>
  </si>
  <si>
    <t>LUVA COM BUCHA DE LATÃO, PVC, SOLDÁVEL, DN 25MM X 3/4 , INSTALADO EM RAMAL DE DISTRIBUIÇÃO DE ÁGUA - FORNECIMENTO E INSTALAÇÃO. AF_06/2022</t>
  </si>
  <si>
    <t xml:space="preserve"> 3.10.7 </t>
  </si>
  <si>
    <t>TE, PVC, SOLDÁVEL, DN 25MM, INSTALADO EM DRENO DE AR-CONDICIONADO - FORNECIMENTO E INSTALAÇÃO. AF_08/2022</t>
  </si>
  <si>
    <t xml:space="preserve"> 3.10.8 </t>
  </si>
  <si>
    <t>CONFORME TABELA DO PROJETO DRENOS-SESC-BLOCO-EDUCAÇÃO-R01 2-3</t>
  </si>
  <si>
    <t>FACHADAS</t>
  </si>
  <si>
    <t>ÁREA VÃOS (m²)</t>
  </si>
  <si>
    <t>NOROESTE</t>
  </si>
  <si>
    <t>NORDESTE</t>
  </si>
  <si>
    <t>CONFORME PROJETO ANTIGO TO-010\AR\TO-010-AR-DE-030-0.DWG</t>
  </si>
  <si>
    <t xml:space="preserve">SINAPI TO - 08/2024
</t>
  </si>
  <si>
    <t>ORÇAMENTO SINTÉTICO</t>
  </si>
  <si>
    <t xml:space="preserve"> 4.7</t>
  </si>
  <si>
    <t>4.7.1</t>
  </si>
  <si>
    <t>4.7.2</t>
  </si>
  <si>
    <t>4.7.3</t>
  </si>
  <si>
    <t xml:space="preserve"> 4.8</t>
  </si>
  <si>
    <t>4.8.1</t>
  </si>
  <si>
    <t>4.8.2</t>
  </si>
  <si>
    <t>4.8.3</t>
  </si>
  <si>
    <t>4.8.4</t>
  </si>
  <si>
    <t>4.8.5</t>
  </si>
  <si>
    <t>4.8.6</t>
  </si>
  <si>
    <t>4.8.7</t>
  </si>
  <si>
    <t>4.8.8</t>
  </si>
  <si>
    <t>4.8.9</t>
  </si>
  <si>
    <t>4.8.10</t>
  </si>
  <si>
    <t xml:space="preserve"> 4.9</t>
  </si>
  <si>
    <t xml:space="preserve"> 4.9.1</t>
  </si>
  <si>
    <t xml:space="preserve"> 4.9.2</t>
  </si>
  <si>
    <t xml:space="preserve"> 4.9.3</t>
  </si>
  <si>
    <t xml:space="preserve"> 4.9.4</t>
  </si>
  <si>
    <t xml:space="preserve"> 4.9.5</t>
  </si>
  <si>
    <t xml:space="preserve"> 4.9.6</t>
  </si>
  <si>
    <t xml:space="preserve"> 4.9.7</t>
  </si>
  <si>
    <t xml:space="preserve"> 4.9.8</t>
  </si>
  <si>
    <t xml:space="preserve"> 4.9.9</t>
  </si>
  <si>
    <t xml:space="preserve"> 4.9.10</t>
  </si>
  <si>
    <t xml:space="preserve"> 4.9.11</t>
  </si>
  <si>
    <t xml:space="preserve"> 4.9.12</t>
  </si>
  <si>
    <t xml:space="preserve"> 4.9.13</t>
  </si>
  <si>
    <t xml:space="preserve"> 4.9.14</t>
  </si>
  <si>
    <t xml:space="preserve"> 4.9.15</t>
  </si>
  <si>
    <t xml:space="preserve"> 4.9.16</t>
  </si>
  <si>
    <t xml:space="preserve"> 4.9.17</t>
  </si>
  <si>
    <t xml:space="preserve"> 4.9.18</t>
  </si>
  <si>
    <t xml:space="preserve"> 4.9.19</t>
  </si>
  <si>
    <t xml:space="preserve"> 4.9.20</t>
  </si>
  <si>
    <t xml:space="preserve"> 4.9.21</t>
  </si>
  <si>
    <t xml:space="preserve"> 4.9.22</t>
  </si>
  <si>
    <t xml:space="preserve"> 4.9.23</t>
  </si>
  <si>
    <t xml:space="preserve"> 4.9.24</t>
  </si>
  <si>
    <t xml:space="preserve"> 4.9.25</t>
  </si>
  <si>
    <t xml:space="preserve"> 4.9.26</t>
  </si>
  <si>
    <t>SUDOESTE 01</t>
  </si>
  <si>
    <t>SUDOESTE 04</t>
  </si>
  <si>
    <t xml:space="preserve"> 6.11.6</t>
  </si>
  <si>
    <t xml:space="preserve">  </t>
  </si>
  <si>
    <t/>
  </si>
  <si>
    <t xml:space="preserve"> 1.1 </t>
  </si>
  <si>
    <t xml:space="preserve"> 90778 </t>
  </si>
  <si>
    <t>SINAPI</t>
  </si>
  <si>
    <t>ENGENHEIRO CIVIL DE OBRA PLENO COM ENCARGOS COMPLEMENTARES</t>
  </si>
  <si>
    <t>H</t>
  </si>
  <si>
    <t xml:space="preserve"> 1.2 </t>
  </si>
  <si>
    <t xml:space="preserve"> 94295 </t>
  </si>
  <si>
    <t>MESTRE DE OBRAS COM ENCARGOS COMPLEMENTARES</t>
  </si>
  <si>
    <t xml:space="preserve"> 1.3 </t>
  </si>
  <si>
    <t xml:space="preserve"> 93572 </t>
  </si>
  <si>
    <t>ENCARREGADO GERAL DE OBRAS COM ENCARGOS COMPLEMENTARES</t>
  </si>
  <si>
    <t xml:space="preserve"> 1.4 </t>
  </si>
  <si>
    <t xml:space="preserve"> 101460 </t>
  </si>
  <si>
    <t>VIGIA DIURNO COM ENCARGOS COMPLEMENTARES</t>
  </si>
  <si>
    <t xml:space="preserve"> 105009 </t>
  </si>
  <si>
    <t xml:space="preserve"> 103689 </t>
  </si>
  <si>
    <t xml:space="preserve"> Sesc 01 </t>
  </si>
  <si>
    <t>Próprio</t>
  </si>
  <si>
    <t xml:space="preserve"> 94342 </t>
  </si>
  <si>
    <t xml:space="preserve"> 97084 </t>
  </si>
  <si>
    <t xml:space="preserve"> 97634 </t>
  </si>
  <si>
    <t xml:space="preserve"> 97622 </t>
  </si>
  <si>
    <t xml:space="preserve"> 3.1.3 </t>
  </si>
  <si>
    <t xml:space="preserve"> 104791 </t>
  </si>
  <si>
    <t xml:space="preserve"> 3.1.4 </t>
  </si>
  <si>
    <t xml:space="preserve"> CA - 01 </t>
  </si>
  <si>
    <t xml:space="preserve"> 3.1.5 </t>
  </si>
  <si>
    <t xml:space="preserve"> 97644 </t>
  </si>
  <si>
    <t xml:space="preserve"> 3.1.6 </t>
  </si>
  <si>
    <t xml:space="preserve"> 97663 </t>
  </si>
  <si>
    <t xml:space="preserve"> 97665 </t>
  </si>
  <si>
    <t xml:space="preserve"> 97660 </t>
  </si>
  <si>
    <t xml:space="preserve"> 97641 </t>
  </si>
  <si>
    <t xml:space="preserve"> CA - 03 </t>
  </si>
  <si>
    <t xml:space="preserve"> CA - 02 </t>
  </si>
  <si>
    <t xml:space="preserve"> 96361 </t>
  </si>
  <si>
    <t xml:space="preserve"> 87894 </t>
  </si>
  <si>
    <t xml:space="preserve"> 87794 </t>
  </si>
  <si>
    <t xml:space="preserve"> CA - 05 </t>
  </si>
  <si>
    <t xml:space="preserve"> 3.3.1.4 </t>
  </si>
  <si>
    <t xml:space="preserve"> 87273 </t>
  </si>
  <si>
    <t xml:space="preserve"> 3.3.1.5 </t>
  </si>
  <si>
    <t xml:space="preserve"> CA - 06 </t>
  </si>
  <si>
    <t xml:space="preserve"> 79483 </t>
  </si>
  <si>
    <t xml:space="preserve"> 87642 </t>
  </si>
  <si>
    <t xml:space="preserve"> 84084 </t>
  </si>
  <si>
    <t xml:space="preserve"> 98555 </t>
  </si>
  <si>
    <t xml:space="preserve"> 3.3.2.6 </t>
  </si>
  <si>
    <t xml:space="preserve"> CA - 08 </t>
  </si>
  <si>
    <t xml:space="preserve"> SESC220 </t>
  </si>
  <si>
    <t xml:space="preserve"> 88485 </t>
  </si>
  <si>
    <t xml:space="preserve"> 88495 </t>
  </si>
  <si>
    <t xml:space="preserve"> 95622 </t>
  </si>
  <si>
    <t xml:space="preserve"> Sesc61 </t>
  </si>
  <si>
    <t xml:space="preserve"> Sesc58 </t>
  </si>
  <si>
    <t xml:space="preserve"> Sesc60 </t>
  </si>
  <si>
    <t xml:space="preserve"> Sesc59 </t>
  </si>
  <si>
    <t xml:space="preserve"> Sesc79 </t>
  </si>
  <si>
    <t xml:space="preserve"> SESC226 </t>
  </si>
  <si>
    <t xml:space="preserve"> 3.6 </t>
  </si>
  <si>
    <t xml:space="preserve"> 3.6.1 </t>
  </si>
  <si>
    <t xml:space="preserve"> 98689 </t>
  </si>
  <si>
    <t xml:space="preserve"> 3.6.2 </t>
  </si>
  <si>
    <t xml:space="preserve"> SESC228 </t>
  </si>
  <si>
    <t xml:space="preserve"> 3.6.3 </t>
  </si>
  <si>
    <t xml:space="preserve"> SESC230 </t>
  </si>
  <si>
    <t xml:space="preserve"> 3.6.4 </t>
  </si>
  <si>
    <t xml:space="preserve"> 85005 </t>
  </si>
  <si>
    <t xml:space="preserve"> 3.7 </t>
  </si>
  <si>
    <t xml:space="preserve"> 3.7.1 </t>
  </si>
  <si>
    <t xml:space="preserve"> 86932 </t>
  </si>
  <si>
    <t xml:space="preserve"> 3.7.2 </t>
  </si>
  <si>
    <t xml:space="preserve"> 86904 </t>
  </si>
  <si>
    <t xml:space="preserve"> 3.7.3 </t>
  </si>
  <si>
    <t xml:space="preserve"> 86938 </t>
  </si>
  <si>
    <t xml:space="preserve"> 3.7.4 </t>
  </si>
  <si>
    <t xml:space="preserve"> 86881 </t>
  </si>
  <si>
    <t xml:space="preserve"> 3.7.5 </t>
  </si>
  <si>
    <t xml:space="preserve"> 86877 </t>
  </si>
  <si>
    <t xml:space="preserve"> 3.7.6 </t>
  </si>
  <si>
    <t xml:space="preserve"> SESC229 </t>
  </si>
  <si>
    <t xml:space="preserve"> 3.8 </t>
  </si>
  <si>
    <t>INSTALAÇÕES ELETRICAS</t>
  </si>
  <si>
    <t xml:space="preserve"> 91939 </t>
  </si>
  <si>
    <t xml:space="preserve"> 91940 </t>
  </si>
  <si>
    <t xml:space="preserve"> 91941 </t>
  </si>
  <si>
    <t xml:space="preserve"> 91937 </t>
  </si>
  <si>
    <t xml:space="preserve"> 91884 </t>
  </si>
  <si>
    <t xml:space="preserve"> 91926 </t>
  </si>
  <si>
    <t xml:space="preserve"> 91928 </t>
  </si>
  <si>
    <t xml:space="preserve"> 103260 </t>
  </si>
  <si>
    <t xml:space="preserve"> 91953 </t>
  </si>
  <si>
    <t xml:space="preserve"> 92000 </t>
  </si>
  <si>
    <t xml:space="preserve"> 92008 </t>
  </si>
  <si>
    <t xml:space="preserve"> 93654 </t>
  </si>
  <si>
    <t xml:space="preserve"> 93655 </t>
  </si>
  <si>
    <t xml:space="preserve"> 93656 </t>
  </si>
  <si>
    <t xml:space="preserve"> 91835 </t>
  </si>
  <si>
    <t xml:space="preserve"> SESC287 </t>
  </si>
  <si>
    <t xml:space="preserve"> SESC222 </t>
  </si>
  <si>
    <t xml:space="preserve"> SESC293 </t>
  </si>
  <si>
    <t xml:space="preserve"> 98302 </t>
  </si>
  <si>
    <t xml:space="preserve"> 91875 </t>
  </si>
  <si>
    <t xml:space="preserve"> 98297 </t>
  </si>
  <si>
    <t xml:space="preserve"> SESC294 </t>
  </si>
  <si>
    <t xml:space="preserve"> SESC295 </t>
  </si>
  <si>
    <t xml:space="preserve"> SESC296 </t>
  </si>
  <si>
    <t xml:space="preserve"> 3.10 </t>
  </si>
  <si>
    <t xml:space="preserve"> 89448 </t>
  </si>
  <si>
    <t xml:space="preserve"> 89494 </t>
  </si>
  <si>
    <t xml:space="preserve"> 89489 </t>
  </si>
  <si>
    <t xml:space="preserve"> 89867 </t>
  </si>
  <si>
    <t xml:space="preserve"> 89866 </t>
  </si>
  <si>
    <t xml:space="preserve"> 89427 </t>
  </si>
  <si>
    <t xml:space="preserve"> 89869 </t>
  </si>
  <si>
    <t xml:space="preserve"> SESC253 </t>
  </si>
  <si>
    <t xml:space="preserve"> SESC231 </t>
  </si>
  <si>
    <t xml:space="preserve"> 104790 </t>
  </si>
  <si>
    <t xml:space="preserve"> 97629 </t>
  </si>
  <si>
    <t xml:space="preserve"> SESC233 </t>
  </si>
  <si>
    <t xml:space="preserve"> SESC234 </t>
  </si>
  <si>
    <t xml:space="preserve"> SESC235 </t>
  </si>
  <si>
    <t xml:space="preserve"> SESC236 </t>
  </si>
  <si>
    <t xml:space="preserve"> SESC237 </t>
  </si>
  <si>
    <t xml:space="preserve"> 97655 </t>
  </si>
  <si>
    <t xml:space="preserve"> SESC238 </t>
  </si>
  <si>
    <t xml:space="preserve"> 96523 </t>
  </si>
  <si>
    <t xml:space="preserve"> 101616 </t>
  </si>
  <si>
    <t xml:space="preserve"> SESC249 </t>
  </si>
  <si>
    <t xml:space="preserve"> 96545 </t>
  </si>
  <si>
    <t xml:space="preserve"> SESC250 </t>
  </si>
  <si>
    <t xml:space="preserve"> 94965 </t>
  </si>
  <si>
    <t xml:space="preserve"> 103670 </t>
  </si>
  <si>
    <t xml:space="preserve"> 101964 </t>
  </si>
  <si>
    <t xml:space="preserve"> 100766 </t>
  </si>
  <si>
    <t xml:space="preserve"> SESC251 </t>
  </si>
  <si>
    <t xml:space="preserve"> 100764 </t>
  </si>
  <si>
    <t xml:space="preserve"> 103332 </t>
  </si>
  <si>
    <t xml:space="preserve"> 100775 </t>
  </si>
  <si>
    <t xml:space="preserve"> 4.5.2 </t>
  </si>
  <si>
    <t xml:space="preserve"> 104314 </t>
  </si>
  <si>
    <t xml:space="preserve"> 4.5.3 </t>
  </si>
  <si>
    <t xml:space="preserve"> SESC239 </t>
  </si>
  <si>
    <t xml:space="preserve"> 4.5.4 </t>
  </si>
  <si>
    <t xml:space="preserve"> 94231 </t>
  </si>
  <si>
    <t xml:space="preserve"> 4.5.5 </t>
  </si>
  <si>
    <t xml:space="preserve"> 4.5.6 </t>
  </si>
  <si>
    <t xml:space="preserve"> Sesd65 </t>
  </si>
  <si>
    <t xml:space="preserve"> 4.5.7 </t>
  </si>
  <si>
    <t xml:space="preserve"> SESC241 </t>
  </si>
  <si>
    <t xml:space="preserve"> 4.5.8 </t>
  </si>
  <si>
    <t xml:space="preserve"> Sesd63 </t>
  </si>
  <si>
    <t xml:space="preserve"> SESC243 </t>
  </si>
  <si>
    <t xml:space="preserve"> SESC242 </t>
  </si>
  <si>
    <t xml:space="preserve"> 96135 </t>
  </si>
  <si>
    <t xml:space="preserve"> 95626 </t>
  </si>
  <si>
    <t xml:space="preserve"> Sesd60 </t>
  </si>
  <si>
    <t xml:space="preserve"> 100717 </t>
  </si>
  <si>
    <t xml:space="preserve"> 4.7 </t>
  </si>
  <si>
    <t xml:space="preserve"> 4.7.1 </t>
  </si>
  <si>
    <t xml:space="preserve"> SESC245 </t>
  </si>
  <si>
    <t xml:space="preserve"> 4.7.2 </t>
  </si>
  <si>
    <t xml:space="preserve"> SESC246 </t>
  </si>
  <si>
    <t xml:space="preserve"> 4.7.3 </t>
  </si>
  <si>
    <t xml:space="preserve"> 4.8 </t>
  </si>
  <si>
    <t xml:space="preserve"> 4.8.1 </t>
  </si>
  <si>
    <t xml:space="preserve"> 4.8.2 </t>
  </si>
  <si>
    <t xml:space="preserve"> 93358 </t>
  </si>
  <si>
    <t xml:space="preserve"> 4.8.3 </t>
  </si>
  <si>
    <t xml:space="preserve"> 012 </t>
  </si>
  <si>
    <t xml:space="preserve"> 4.8.4 </t>
  </si>
  <si>
    <t xml:space="preserve"> 89512 </t>
  </si>
  <si>
    <t xml:space="preserve"> 4.8.5 </t>
  </si>
  <si>
    <t xml:space="preserve"> 89531 </t>
  </si>
  <si>
    <t xml:space="preserve"> 4.8.6 </t>
  </si>
  <si>
    <t xml:space="preserve"> 89529 </t>
  </si>
  <si>
    <t xml:space="preserve"> 4.8.7 </t>
  </si>
  <si>
    <t xml:space="preserve"> 102710 </t>
  </si>
  <si>
    <t xml:space="preserve"> 4.8.8 </t>
  </si>
  <si>
    <t xml:space="preserve"> 89556 </t>
  </si>
  <si>
    <t xml:space="preserve"> 4.8.9 </t>
  </si>
  <si>
    <t xml:space="preserve"> 104166 </t>
  </si>
  <si>
    <t xml:space="preserve"> 4.8.10 </t>
  </si>
  <si>
    <t xml:space="preserve"> 4.9 </t>
  </si>
  <si>
    <t xml:space="preserve"> 4.9.1 </t>
  </si>
  <si>
    <t xml:space="preserve"> 4.9.2 </t>
  </si>
  <si>
    <t xml:space="preserve"> 4.9.3 </t>
  </si>
  <si>
    <t xml:space="preserve"> 4.9.4 </t>
  </si>
  <si>
    <t xml:space="preserve"> 4.9.5 </t>
  </si>
  <si>
    <t xml:space="preserve"> 4.9.6 </t>
  </si>
  <si>
    <t xml:space="preserve"> 4.9.7 </t>
  </si>
  <si>
    <t xml:space="preserve"> 4.9.8 </t>
  </si>
  <si>
    <t xml:space="preserve"> 4.9.9 </t>
  </si>
  <si>
    <t xml:space="preserve"> 91935 </t>
  </si>
  <si>
    <t xml:space="preserve"> 4.9.10 </t>
  </si>
  <si>
    <t xml:space="preserve"> 103261 </t>
  </si>
  <si>
    <t xml:space="preserve"> 4.9.11 </t>
  </si>
  <si>
    <t xml:space="preserve"> 103275 </t>
  </si>
  <si>
    <t xml:space="preserve"> 4.9.12 </t>
  </si>
  <si>
    <t xml:space="preserve"> 4.9.13 </t>
  </si>
  <si>
    <t xml:space="preserve"> 91959 </t>
  </si>
  <si>
    <t xml:space="preserve"> 4.9.14 </t>
  </si>
  <si>
    <t xml:space="preserve"> 91967 </t>
  </si>
  <si>
    <t xml:space="preserve"> 4.9.15 </t>
  </si>
  <si>
    <t xml:space="preserve"> 4.9.16 </t>
  </si>
  <si>
    <t xml:space="preserve"> 4.9.17 </t>
  </si>
  <si>
    <t xml:space="preserve"> 4.9.18 </t>
  </si>
  <si>
    <t xml:space="preserve"> 101891 </t>
  </si>
  <si>
    <t xml:space="preserve"> 4.9.19 </t>
  </si>
  <si>
    <t xml:space="preserve"> 91834 </t>
  </si>
  <si>
    <t xml:space="preserve"> 4.9.20 </t>
  </si>
  <si>
    <t xml:space="preserve"> 4.9.21 </t>
  </si>
  <si>
    <t xml:space="preserve"> Sesc92 </t>
  </si>
  <si>
    <t xml:space="preserve"> 4.9.22 </t>
  </si>
  <si>
    <t xml:space="preserve"> Sesc94 </t>
  </si>
  <si>
    <t xml:space="preserve"> 4.9.23 </t>
  </si>
  <si>
    <t xml:space="preserve"> SESC209 </t>
  </si>
  <si>
    <t xml:space="preserve"> 4.9.24 </t>
  </si>
  <si>
    <t xml:space="preserve"> SESC278 </t>
  </si>
  <si>
    <t xml:space="preserve"> 4.9.25 </t>
  </si>
  <si>
    <t xml:space="preserve"> 4.9.26 </t>
  </si>
  <si>
    <t xml:space="preserve"> SESC297 </t>
  </si>
  <si>
    <t xml:space="preserve"> 96617 </t>
  </si>
  <si>
    <t xml:space="preserve"> 96544 </t>
  </si>
  <si>
    <t xml:space="preserve"> 96546 </t>
  </si>
  <si>
    <t xml:space="preserve"> 96543 </t>
  </si>
  <si>
    <t xml:space="preserve"> 92419 </t>
  </si>
  <si>
    <t xml:space="preserve"> 98557 </t>
  </si>
  <si>
    <t xml:space="preserve"> 92761 </t>
  </si>
  <si>
    <t xml:space="preserve"> 92759 </t>
  </si>
  <si>
    <t xml:space="preserve"> 92265 </t>
  </si>
  <si>
    <t xml:space="preserve"> 105023 </t>
  </si>
  <si>
    <t xml:space="preserve"> 105029 </t>
  </si>
  <si>
    <t xml:space="preserve"> 93203 </t>
  </si>
  <si>
    <t xml:space="preserve"> 5.4.1 </t>
  </si>
  <si>
    <t xml:space="preserve"> 94228 </t>
  </si>
  <si>
    <t xml:space="preserve"> 87644 </t>
  </si>
  <si>
    <t xml:space="preserve"> 96131 </t>
  </si>
  <si>
    <t xml:space="preserve"> SESC225 </t>
  </si>
  <si>
    <t xml:space="preserve"> SESC227 </t>
  </si>
  <si>
    <t xml:space="preserve"> 92869 </t>
  </si>
  <si>
    <t xml:space="preserve"> 91876 </t>
  </si>
  <si>
    <t xml:space="preserve"> SESC270 </t>
  </si>
  <si>
    <t xml:space="preserve"> SESC254 </t>
  </si>
  <si>
    <t xml:space="preserve"> SESC232 </t>
  </si>
  <si>
    <t xml:space="preserve"> SESC255 </t>
  </si>
  <si>
    <t xml:space="preserve"> SESC256 </t>
  </si>
  <si>
    <t xml:space="preserve"> SESC257 </t>
  </si>
  <si>
    <t xml:space="preserve"> 6.1.8 </t>
  </si>
  <si>
    <t xml:space="preserve"> SESC258 </t>
  </si>
  <si>
    <t xml:space="preserve"> 6.1.9 </t>
  </si>
  <si>
    <t xml:space="preserve"> 6.1.10 </t>
  </si>
  <si>
    <t xml:space="preserve"> 6.1.11 </t>
  </si>
  <si>
    <t xml:space="preserve"> 97645 </t>
  </si>
  <si>
    <t xml:space="preserve"> 6.1.12 </t>
  </si>
  <si>
    <t xml:space="preserve"> 6.1.13 </t>
  </si>
  <si>
    <t xml:space="preserve"> 6.1.14 </t>
  </si>
  <si>
    <t xml:space="preserve"> 104803 </t>
  </si>
  <si>
    <t xml:space="preserve"> 6.1.15 </t>
  </si>
  <si>
    <t xml:space="preserve"> 6.1.16 </t>
  </si>
  <si>
    <t xml:space="preserve"> 6.1.17 </t>
  </si>
  <si>
    <t xml:space="preserve"> 6.1.18 </t>
  </si>
  <si>
    <t xml:space="preserve"> 6.1.19 </t>
  </si>
  <si>
    <t xml:space="preserve"> SESC289 </t>
  </si>
  <si>
    <t xml:space="preserve"> 6.1.20 </t>
  </si>
  <si>
    <t xml:space="preserve"> 6.1.21 </t>
  </si>
  <si>
    <t xml:space="preserve"> 97633 </t>
  </si>
  <si>
    <t xml:space="preserve"> 101175 </t>
  </si>
  <si>
    <t xml:space="preserve"> 6.2.1.2 </t>
  </si>
  <si>
    <t xml:space="preserve"> 6.2.1.3 </t>
  </si>
  <si>
    <t xml:space="preserve"> 6.2.1.4 </t>
  </si>
  <si>
    <t xml:space="preserve"> 101173 </t>
  </si>
  <si>
    <t xml:space="preserve"> 6.3.1.1 </t>
  </si>
  <si>
    <t xml:space="preserve"> 6.3.1.2 </t>
  </si>
  <si>
    <t xml:space="preserve"> 6.3.1.3 </t>
  </si>
  <si>
    <t xml:space="preserve"> 6.3.1.4 </t>
  </si>
  <si>
    <t xml:space="preserve"> 6.3.1.5 </t>
  </si>
  <si>
    <t xml:space="preserve"> 6.3.2.1 </t>
  </si>
  <si>
    <t xml:space="preserve"> 6.3.2.2 </t>
  </si>
  <si>
    <t xml:space="preserve"> 92762 </t>
  </si>
  <si>
    <t xml:space="preserve"> 6.3.2.3 </t>
  </si>
  <si>
    <t xml:space="preserve"> 6.3.2.4 </t>
  </si>
  <si>
    <t xml:space="preserve"> 6.3.2.5 </t>
  </si>
  <si>
    <t xml:space="preserve"> 6.3.2.6 </t>
  </si>
  <si>
    <t xml:space="preserve"> 6.3.2.7 </t>
  </si>
  <si>
    <t xml:space="preserve"> SESC259 </t>
  </si>
  <si>
    <t xml:space="preserve"> SESC260 </t>
  </si>
  <si>
    <t xml:space="preserve"> 101162 </t>
  </si>
  <si>
    <t xml:space="preserve"> 96619 </t>
  </si>
  <si>
    <t xml:space="preserve"> SESC261 </t>
  </si>
  <si>
    <t xml:space="preserve"> SESC262 </t>
  </si>
  <si>
    <t xml:space="preserve"> SESC263 </t>
  </si>
  <si>
    <t xml:space="preserve"> 93681 </t>
  </si>
  <si>
    <t xml:space="preserve"> 94992 </t>
  </si>
  <si>
    <t xml:space="preserve"> SESC264 </t>
  </si>
  <si>
    <t xml:space="preserve"> SESC266 </t>
  </si>
  <si>
    <t xml:space="preserve"> SESC265 </t>
  </si>
  <si>
    <t xml:space="preserve"> Sesd58 </t>
  </si>
  <si>
    <t xml:space="preserve"> 88484 </t>
  </si>
  <si>
    <t xml:space="preserve"> 88496 </t>
  </si>
  <si>
    <t xml:space="preserve"> 88486 </t>
  </si>
  <si>
    <t xml:space="preserve"> 010 </t>
  </si>
  <si>
    <t xml:space="preserve"> 009 </t>
  </si>
  <si>
    <t xml:space="preserve"> SESC267 </t>
  </si>
  <si>
    <t xml:space="preserve"> SESC268 </t>
  </si>
  <si>
    <t xml:space="preserve"> SESC269 </t>
  </si>
  <si>
    <t xml:space="preserve"> 91863 </t>
  </si>
  <si>
    <t xml:space="preserve"> 91942 </t>
  </si>
  <si>
    <t xml:space="preserve"> SESC272 </t>
  </si>
  <si>
    <t xml:space="preserve"> SESC273 </t>
  </si>
  <si>
    <t xml:space="preserve"> 91977 </t>
  </si>
  <si>
    <t xml:space="preserve"> SESC274 </t>
  </si>
  <si>
    <t xml:space="preserve"> SESC275 </t>
  </si>
  <si>
    <t xml:space="preserve"> SESC210 </t>
  </si>
  <si>
    <t xml:space="preserve"> SESC276 </t>
  </si>
  <si>
    <t xml:space="preserve"> SESC207 </t>
  </si>
  <si>
    <t xml:space="preserve"> SESC277 </t>
  </si>
  <si>
    <t xml:space="preserve"> SESC208 </t>
  </si>
  <si>
    <t xml:space="preserve"> SESC279 </t>
  </si>
  <si>
    <t xml:space="preserve"> SESC280 </t>
  </si>
  <si>
    <t xml:space="preserve"> SESC281 </t>
  </si>
  <si>
    <t xml:space="preserve"> 103946 </t>
  </si>
  <si>
    <t xml:space="preserve"> SESC282 </t>
  </si>
  <si>
    <t xml:space="preserve"> SESC283 </t>
  </si>
  <si>
    <t xml:space="preserve"> SESC284 </t>
  </si>
  <si>
    <t xml:space="preserve"> SESC285 </t>
  </si>
  <si>
    <t xml:space="preserve"> 6.11.6 </t>
  </si>
  <si>
    <t xml:space="preserve"> SESC286 </t>
  </si>
  <si>
    <t xml:space="preserve"> 6.12 </t>
  </si>
  <si>
    <t xml:space="preserve"> 6.12.1 </t>
  </si>
  <si>
    <t xml:space="preserve"> 89591 </t>
  </si>
  <si>
    <t xml:space="preserve"> 89590 </t>
  </si>
  <si>
    <t xml:space="preserve"> 89698 </t>
  </si>
  <si>
    <t xml:space="preserve"> 89677 </t>
  </si>
  <si>
    <t xml:space="preserve"> Sesc74 </t>
  </si>
  <si>
    <t xml:space="preserve"> SESC247 </t>
  </si>
  <si>
    <t xml:space="preserve"> 97647 </t>
  </si>
  <si>
    <t xml:space="preserve"> Sesc80 </t>
  </si>
  <si>
    <t xml:space="preserve"> 92580 </t>
  </si>
  <si>
    <t xml:space="preserve"> SESC290 </t>
  </si>
  <si>
    <t xml:space="preserve"> 103333 </t>
  </si>
  <si>
    <t xml:space="preserve"> 87893 </t>
  </si>
  <si>
    <t xml:space="preserve"> 98562 </t>
  </si>
  <si>
    <t xml:space="preserve"> SESC292 </t>
  </si>
  <si>
    <t xml:space="preserve"> 94990 </t>
  </si>
  <si>
    <t xml:space="preserve"> 9 </t>
  </si>
  <si>
    <t xml:space="preserve"> 9.1 </t>
  </si>
  <si>
    <t xml:space="preserve"> Sesc64 </t>
  </si>
  <si>
    <t xml:space="preserve"> 9.2 </t>
  </si>
  <si>
    <t xml:space="preserve"> SESC248 </t>
  </si>
  <si>
    <t xml:space="preserve"> 9.3 </t>
  </si>
  <si>
    <t xml:space="preserve"> SESC298 </t>
  </si>
  <si>
    <t>VOLUME (m³)</t>
  </si>
  <si>
    <t>ALTURA (m³)</t>
  </si>
  <si>
    <t>RESERVA DE MATERIAL - BDI DIFERENCIADO (16,00%) REVESTIMENTO EM PORCELANATO 100X100 CM MUNICH SGR NAT 6060955A PORTINARI</t>
  </si>
  <si>
    <t>Total sem BDI</t>
  </si>
  <si>
    <t>Total do BDI</t>
  </si>
  <si>
    <t>Total Geral</t>
  </si>
  <si>
    <t>L</t>
  </si>
  <si>
    <t>28,82%</t>
  </si>
  <si>
    <t xml:space="preserve">SINAPI - 08/2024 - Tocantins
</t>
  </si>
  <si>
    <t>Custo Acumulado</t>
  </si>
  <si>
    <t>100,0%</t>
  </si>
  <si>
    <t>Porcentagem Acumulado</t>
  </si>
  <si>
    <t>140.337,97</t>
  </si>
  <si>
    <t>Custo</t>
  </si>
  <si>
    <t>Porcentagem</t>
  </si>
  <si>
    <t>100,00%
76.158,57</t>
  </si>
  <si>
    <t>40,00%
1.500,16</t>
  </si>
  <si>
    <t>20,00%
750,08</t>
  </si>
  <si>
    <t>100,00%
3.750,40</t>
  </si>
  <si>
    <t>20,00%
1.706,52</t>
  </si>
  <si>
    <t>100,00%
8.532,60</t>
  </si>
  <si>
    <t>89,74%
79.365,25</t>
  </si>
  <si>
    <t>3,63%
3.206,68</t>
  </si>
  <si>
    <t>2,78%
2.456,60</t>
  </si>
  <si>
    <t>1,93%
1.706,52</t>
  </si>
  <si>
    <t>100,00%
88.441,57</t>
  </si>
  <si>
    <t>50,00%
6.842,14</t>
  </si>
  <si>
    <t>100,00%
13.684,27</t>
  </si>
  <si>
    <t>40,00%
46.278,49</t>
  </si>
  <si>
    <t>20,00%
23.139,25</t>
  </si>
  <si>
    <t>100,00%
115.696,23</t>
  </si>
  <si>
    <t>100,00%
1.332,32</t>
  </si>
  <si>
    <t>100,00%
33.441,01</t>
  </si>
  <si>
    <t>100,00%
101.336,87</t>
  </si>
  <si>
    <t>100,00%
3.309,68</t>
  </si>
  <si>
    <t>100,00%
25.064,96</t>
  </si>
  <si>
    <t>100,00%
642.519,66</t>
  </si>
  <si>
    <t>100,00%
58.125,62</t>
  </si>
  <si>
    <t>100,00%
217.975,12</t>
  </si>
  <si>
    <t>100,00%
10.844,55</t>
  </si>
  <si>
    <t>100,00%
75.210,73</t>
  </si>
  <si>
    <t>100,00%
8.135,22</t>
  </si>
  <si>
    <t>100,00%
27.455,88</t>
  </si>
  <si>
    <t>100,00%
17.938,99</t>
  </si>
  <si>
    <t>100,00%
93.896,34</t>
  </si>
  <si>
    <t>100,00%
20.729,85</t>
  </si>
  <si>
    <t>100,00%
31.716,01</t>
  </si>
  <si>
    <t>100,00%
27.764,60</t>
  </si>
  <si>
    <t>100,00%
90.051,58</t>
  </si>
  <si>
    <t>100,00%
11.928,95</t>
  </si>
  <si>
    <t>100,00%
16.883,07</t>
  </si>
  <si>
    <t>100,00%
42.848,47</t>
  </si>
  <si>
    <t>100,00%
39.404,07</t>
  </si>
  <si>
    <t>100,00%
2.440,66</t>
  </si>
  <si>
    <t>100,00%
118.599,07</t>
  </si>
  <si>
    <t>100,00%
10.179,96</t>
  </si>
  <si>
    <t>100,00%
32.349,96</t>
  </si>
  <si>
    <t>100,00%
2.219,25</t>
  </si>
  <si>
    <t>100,00%
2.928,80</t>
  </si>
  <si>
    <t>100,00%
30.495,16</t>
  </si>
  <si>
    <t>100,00%
56.102,45</t>
  </si>
  <si>
    <t>100,00%
163.317,54</t>
  </si>
  <si>
    <t>100,00%
28.830,31</t>
  </si>
  <si>
    <t>100,00%
885.475,91</t>
  </si>
  <si>
    <t>100,00%
19.586,98</t>
  </si>
  <si>
    <t>100,00%
33.604,41</t>
  </si>
  <si>
    <t>20,00%
32.689,26</t>
  </si>
  <si>
    <t>100,00%
163.446,30</t>
  </si>
  <si>
    <t>150 DIAS</t>
  </si>
  <si>
    <t>120 DIAS</t>
  </si>
  <si>
    <t>90 DIAS</t>
  </si>
  <si>
    <t>60 DIAS</t>
  </si>
  <si>
    <t>30 DIAS</t>
  </si>
  <si>
    <t>Total Por Etapa</t>
  </si>
  <si>
    <t>Cronograma Físico e Financeiro</t>
  </si>
  <si>
    <t>Data:</t>
  </si>
  <si>
    <t>Responsável Técnico pela Elaboração do Orçamento:</t>
  </si>
  <si>
    <t xml:space="preserve">Observações: </t>
  </si>
  <si>
    <r>
      <t xml:space="preserve">do valor deste tipo de obra e, sobre esta base, incide ISS com </t>
    </r>
    <r>
      <rPr>
        <b/>
        <sz val="10"/>
        <rFont val="Calibri"/>
        <family val="2"/>
      </rPr>
      <t>alíquota</t>
    </r>
    <r>
      <rPr>
        <sz val="10"/>
        <rFont val="Calibri"/>
        <family val="2"/>
      </rPr>
      <t xml:space="preserve"> de</t>
    </r>
  </si>
  <si>
    <r>
      <t xml:space="preserve">Declaro que, conforme legislação tributária municipal, a </t>
    </r>
    <r>
      <rPr>
        <b/>
        <sz val="10"/>
        <rFont val="Calibri"/>
        <family val="2"/>
      </rPr>
      <t>base de cálculo</t>
    </r>
    <r>
      <rPr>
        <sz val="10"/>
        <rFont val="Calibri"/>
        <family val="2"/>
      </rPr>
      <t xml:space="preserve"> do ISS corresponde a</t>
    </r>
  </si>
  <si>
    <t>FÓRMULA UTILIZADA:</t>
  </si>
  <si>
    <t>BDI RESULTANTE</t>
  </si>
  <si>
    <t>BDI conforme Acórdão 2622/2013 - TCU</t>
  </si>
  <si>
    <t>CPRB (INSS)</t>
  </si>
  <si>
    <t>ISS (legislação municipal)</t>
  </si>
  <si>
    <t>COFINS (geralmente 3,00%)</t>
  </si>
  <si>
    <t>Variável</t>
  </si>
  <si>
    <t>I</t>
  </si>
  <si>
    <t>PIS (geralmente 0,65%)</t>
  </si>
  <si>
    <t>TAXA DE TRIBUTOS</t>
  </si>
  <si>
    <t>TAXA DE LUCRO</t>
  </si>
  <si>
    <t>DF</t>
  </si>
  <si>
    <t>TAXA DE DESPESAS FINANCEIRAS</t>
  </si>
  <si>
    <t>R</t>
  </si>
  <si>
    <t>TAXA DE RISCO</t>
  </si>
  <si>
    <t>S+G</t>
  </si>
  <si>
    <t>TAXA DE SEGURO E GARANTIA DO EMPREENDIMENTO</t>
  </si>
  <si>
    <t>Observação: tendo em vista que a taxa de BDI indicada está fora dos patamares estipulados pelo Acórdão 2622/2013 - TCU, esta Planilha de Detalhamento de BDI será acompanhada de relatório técnico circunstanciado, justificando a adoção do percentual adotado para cada parcela do BDI, assinado pelo profissional responsável técnico do orçamento.</t>
  </si>
  <si>
    <t>AC</t>
  </si>
  <si>
    <t>TAXA DE RATEIO DA ADMINISTRAÇÃO CENTRAL</t>
  </si>
  <si>
    <t xml:space="preserve"> - Fornecimento de Materiais e Equipamentos (Aquisição direta)</t>
  </si>
  <si>
    <t>SUPERIOR</t>
  </si>
  <si>
    <t>INFERIOR</t>
  </si>
  <si>
    <t>LIMITES?</t>
  </si>
  <si>
    <t>VALORES</t>
  </si>
  <si>
    <t>SIGLAS</t>
  </si>
  <si>
    <t>ITENS</t>
  </si>
  <si>
    <t xml:space="preserve"> </t>
  </si>
  <si>
    <t xml:space="preserve"> - Fornecimento de Materiais e Equipamentos (Aquisição indireta, em conjunto com obras)</t>
  </si>
  <si>
    <t>LIMITES RECOMENDADOS</t>
  </si>
  <si>
    <t>ATENDE AOS</t>
  </si>
  <si>
    <t xml:space="preserve"> - Obras Portuárias, Marítimas e Fluviais</t>
  </si>
  <si>
    <t xml:space="preserve"> - Construção de Edifícios (também para Reformas)</t>
  </si>
  <si>
    <t xml:space="preserve"> - Construção e Manutenção de Estações e Redes de Distribuição de Energia Elétrica</t>
  </si>
  <si>
    <t>Tipo de Obra (conforme Acórdão 2622/2013 - TCU):</t>
  </si>
  <si>
    <t xml:space="preserve"> - Construção de Redes de Abastecimento de Água, Coleta de Esgoto e Construções Correlatas</t>
  </si>
  <si>
    <t xml:space="preserve"> - Construção de Rodovias e Ferrovias (também para Recapeamento, Pavimentação e Praças)</t>
  </si>
  <si>
    <t>Localidade</t>
  </si>
  <si>
    <t>Objeto</t>
  </si>
  <si>
    <t>LUCRO</t>
  </si>
  <si>
    <t>SEGURO/GARANTIA</t>
  </si>
  <si>
    <t>RISCO</t>
  </si>
  <si>
    <t>DESP FINANC</t>
  </si>
  <si>
    <t>ADM CENTRAL</t>
  </si>
  <si>
    <t>TOTAL</t>
  </si>
  <si>
    <t>(sem INSS)</t>
  </si>
  <si>
    <t>Município/UF</t>
  </si>
  <si>
    <t>Proponente</t>
  </si>
  <si>
    <t>Limites Acórdão 2622/2013 – TCU:</t>
  </si>
  <si>
    <t xml:space="preserve">            QUADRO DE COMPOSIÇÃO DO BDI - DIFERENCIADO 2</t>
  </si>
  <si>
    <t xml:space="preserve">            QUADRO DE COMPOSIÇÃO DO BDI - DIFERENCIADO 1</t>
  </si>
  <si>
    <t xml:space="preserve">         QUADRO DE COMPOSIÇÃO DO BDI - PADRÃO</t>
  </si>
  <si>
    <t xml:space="preserve">CONFORME TABELA DO PROJETO ELÉTRICO-SESC-BLOCO_EDUCAÇÃO-R01 1-2 SOMADO A QUANTIDADE DE TOMADAS E INTERRUPTORES A REMOVER </t>
  </si>
  <si>
    <t xml:space="preserve"> SESC299</t>
  </si>
  <si>
    <t>Telhamento com telha em aço galvalume, simples, trapezoidal, pré-pintada, TP40 - 0,65mm, Kingspan- Isoeste ou similar</t>
  </si>
  <si>
    <t xml:space="preserve"> SESC300</t>
  </si>
  <si>
    <t>Calha em chapa de aço galvanizado nº 26, desenvolvimento 80 cm (fundo=32 cm, laterais=15 cm, bordas=12cm)- PINTADA NA COR PRETO FOSCO</t>
  </si>
  <si>
    <t xml:space="preserve"> 6.4.2</t>
  </si>
  <si>
    <t>GUARDA-CORPO EM TUBO DE AÇO INOX (NBR 9050)</t>
  </si>
  <si>
    <t xml:space="preserve"> SESC302</t>
  </si>
  <si>
    <t>GUARDA-CORPO EM TUBO DE AÇO INOX (NBR 9050) CHATAS EM FERRO DE 32X4,8MM, FIXADO COM CHUMBADOR MECÂNICO. AF_04/2019_PS</t>
  </si>
  <si>
    <t>100,00%
1.364.689,83</t>
  </si>
  <si>
    <t>79,41%
1.083.725,12</t>
  </si>
  <si>
    <t>20,59%
280.964,71</t>
  </si>
  <si>
    <t>100,00%
123.626,95</t>
  </si>
  <si>
    <t>100,00%
52.106,48</t>
  </si>
  <si>
    <t>100,00%
645.843,60</t>
  </si>
  <si>
    <t>84,33%
544.649,78</t>
  </si>
  <si>
    <t>15,67%
101.193,82</t>
  </si>
  <si>
    <t>100,00%
279.099,60</t>
  </si>
  <si>
    <t>100,00%
84.310,75</t>
  </si>
  <si>
    <t>100,00%
2.058,21</t>
  </si>
  <si>
    <t>100,00%
278.618,35</t>
  </si>
  <si>
    <t>50,01%
139.327,14</t>
  </si>
  <si>
    <t>49,99%
139.291,21</t>
  </si>
  <si>
    <t>100,00%
50.981,46</t>
  </si>
  <si>
    <t>100,00%
1.700.689,14</t>
  </si>
  <si>
    <t>4,42%
75.210,73</t>
  </si>
  <si>
    <t>36,10%
614.000,77</t>
  </si>
  <si>
    <t>59,47%
1.011.477,64</t>
  </si>
  <si>
    <t>100,00%
224.386,29</t>
  </si>
  <si>
    <t>100,00%
307.142,33</t>
  </si>
  <si>
    <t>41,68%</t>
  </si>
  <si>
    <t>12,62%</t>
  </si>
  <si>
    <t>3,19%</t>
  </si>
  <si>
    <t>15,96%</t>
  </si>
  <si>
    <t>26,56%</t>
  </si>
  <si>
    <t>1.835.702,23</t>
  </si>
  <si>
    <t>555.845,52</t>
  </si>
  <si>
    <t>703.017,34</t>
  </si>
  <si>
    <t>1.169.810,64</t>
  </si>
  <si>
    <t>54,3%</t>
  </si>
  <si>
    <t>57,48%</t>
  </si>
  <si>
    <t>73,44%</t>
  </si>
  <si>
    <t>2.391.547,75</t>
  </si>
  <si>
    <t>2.531.885,72</t>
  </si>
  <si>
    <t>3.234.903,05</t>
  </si>
  <si>
    <t>4.404.713,70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</si>
</sst>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0.000"/>
    <numFmt numFmtId="165" formatCode="&quot;R$&quot;\ #,##0.00"/>
  </numFmts>
  <fonts count="45" x14ac:knownFonts="1">
    <font>
      <sz val="11"/>
      <name val="Arial"/>
      <family val="1"/>
    </font>
    <font>
      <sz val="11"/>
      <color theme="1"/>
      <name val="Aptos Narrow"/>
      <family val="2"/>
      <scheme val="minor"/>
    </font>
    <font>
      <b/>
      <sz val="10"/>
      <color rgb="FF000000"/>
      <name val="Arial"/>
      <family val="1"/>
    </font>
    <font>
      <b/>
      <sz val="10"/>
      <color rgb="FF000000"/>
      <name val="Arial"/>
      <family val="1"/>
    </font>
    <font>
      <b/>
      <sz val="10"/>
      <color rgb="FF000000"/>
      <name val="Arial"/>
      <family val="1"/>
    </font>
    <font>
      <sz val="10"/>
      <color rgb="FF000000"/>
      <name val="Arial"/>
      <family val="1"/>
    </font>
    <font>
      <sz val="10"/>
      <color rgb="FF000000"/>
      <name val="Arial"/>
      <family val="1"/>
    </font>
    <font>
      <sz val="10"/>
      <color rgb="FF000000"/>
      <name val="Arial"/>
      <family val="1"/>
    </font>
    <font>
      <b/>
      <sz val="10"/>
      <name val="Arial"/>
      <family val="1"/>
    </font>
    <font>
      <sz val="10"/>
      <name val="Arial"/>
      <family val="1"/>
    </font>
    <font>
      <sz val="10"/>
      <name val="Arial"/>
      <family val="1"/>
    </font>
    <font>
      <sz val="11"/>
      <color rgb="FF000000"/>
      <name val="Aptos Narrow"/>
      <scheme val="minor"/>
    </font>
    <font>
      <sz val="10"/>
      <color rgb="FF000000"/>
      <name val="Arial"/>
    </font>
    <font>
      <b/>
      <sz val="10"/>
      <color rgb="FF000000"/>
      <name val="Arial"/>
      <family val="2"/>
    </font>
    <font>
      <sz val="10"/>
      <color rgb="FF000000"/>
      <name val="Arial"/>
      <family val="2"/>
    </font>
    <font>
      <sz val="11"/>
      <color rgb="FF000000"/>
      <name val="Aptos Narrow"/>
      <family val="2"/>
      <scheme val="minor"/>
    </font>
    <font>
      <b/>
      <sz val="11"/>
      <color rgb="FF000000"/>
      <name val="Aptos Narrow"/>
      <family val="2"/>
      <scheme val="minor"/>
    </font>
    <font>
      <sz val="8"/>
      <name val="Arial"/>
      <family val="1"/>
    </font>
    <font>
      <sz val="11"/>
      <color rgb="FFFF0000"/>
      <name val="Arial"/>
      <family val="1"/>
    </font>
    <font>
      <sz val="10"/>
      <color rgb="FFFF0000"/>
      <name val="Arial"/>
      <family val="2"/>
    </font>
    <font>
      <sz val="11"/>
      <color rgb="FFFF0000"/>
      <name val="Aptos Narrow"/>
      <family val="2"/>
      <scheme val="minor"/>
    </font>
    <font>
      <sz val="10"/>
      <color rgb="FFFF0000"/>
      <name val="Arial"/>
      <family val="1"/>
    </font>
    <font>
      <b/>
      <sz val="11"/>
      <color theme="0"/>
      <name val="Arial"/>
      <family val="2"/>
    </font>
    <font>
      <sz val="11"/>
      <color theme="0"/>
      <name val="Arial"/>
      <family val="2"/>
    </font>
    <font>
      <sz val="10"/>
      <color theme="0"/>
      <name val="Arial"/>
      <family val="2"/>
    </font>
    <font>
      <b/>
      <sz val="10"/>
      <color theme="0"/>
      <name val="Arial"/>
      <family val="2"/>
    </font>
    <font>
      <b/>
      <sz val="11"/>
      <color theme="0"/>
      <name val="Arial"/>
      <family val="1"/>
    </font>
    <font>
      <sz val="11"/>
      <color theme="0"/>
      <name val="Arial"/>
      <family val="1"/>
    </font>
    <font>
      <sz val="10"/>
      <name val="Arial"/>
      <family val="2"/>
    </font>
    <font>
      <b/>
      <sz val="10"/>
      <name val="Arial"/>
      <family val="2"/>
    </font>
    <font>
      <b/>
      <sz val="11"/>
      <name val="Arial"/>
      <family val="1"/>
    </font>
    <font>
      <b/>
      <sz val="10"/>
      <color theme="0"/>
      <name val="Arial"/>
      <family val="1"/>
    </font>
    <font>
      <sz val="10"/>
      <color indexed="8"/>
      <name val="Calibri"/>
      <family val="2"/>
    </font>
    <font>
      <sz val="10"/>
      <name val="Calibri"/>
      <family val="2"/>
    </font>
    <font>
      <sz val="11"/>
      <color indexed="10"/>
      <name val="Calibri"/>
      <family val="2"/>
    </font>
    <font>
      <sz val="10"/>
      <color indexed="10"/>
      <name val="Calibri"/>
      <family val="2"/>
    </font>
    <font>
      <sz val="11"/>
      <name val="Calibri"/>
      <family val="2"/>
    </font>
    <font>
      <b/>
      <sz val="10"/>
      <name val="Calibri"/>
      <family val="2"/>
    </font>
    <font>
      <sz val="8"/>
      <name val="Calibri"/>
      <family val="2"/>
    </font>
    <font>
      <sz val="8"/>
      <color indexed="10"/>
      <name val="Calibri"/>
      <family val="2"/>
    </font>
    <font>
      <sz val="11"/>
      <color indexed="8"/>
      <name val="Calibri"/>
      <family val="2"/>
    </font>
    <font>
      <b/>
      <sz val="10"/>
      <color indexed="8"/>
      <name val="Calibri"/>
      <family val="2"/>
    </font>
    <font>
      <sz val="8"/>
      <color indexed="8"/>
      <name val="Calibri"/>
      <family val="2"/>
    </font>
    <font>
      <i/>
      <sz val="10"/>
      <color indexed="8"/>
      <name val="Calibri"/>
      <family val="2"/>
    </font>
    <font>
      <b/>
      <sz val="8"/>
      <color indexed="8"/>
      <name val="Calibri"/>
      <family val="2"/>
    </font>
  </fonts>
  <fills count="21">
    <fill>
      <patternFill patternType="none"/>
    </fill>
    <fill>
      <patternFill patternType="gray125"/>
    </fill>
    <fill>
      <patternFill patternType="solid">
        <fgColor rgb="FFD8ECF6"/>
      </patternFill>
    </fill>
    <fill>
      <patternFill patternType="solid">
        <fgColor rgb="FFD8ECF6"/>
      </patternFill>
    </fill>
    <fill>
      <patternFill patternType="solid">
        <fgColor rgb="FFD8ECF6"/>
      </patternFill>
    </fill>
    <fill>
      <patternFill patternType="solid">
        <fgColor rgb="FFDFF0D8"/>
      </patternFill>
    </fill>
    <fill>
      <patternFill patternType="solid">
        <fgColor rgb="FFDFF0D8"/>
      </patternFill>
    </fill>
    <fill>
      <patternFill patternType="solid">
        <fgColor rgb="FFDFF0D8"/>
      </patternFill>
    </fill>
    <fill>
      <patternFill patternType="solid">
        <fgColor rgb="FFFFFFFF"/>
      </patternFill>
    </fill>
    <fill>
      <patternFill patternType="solid">
        <fgColor theme="0"/>
      </patternFill>
    </fill>
    <fill>
      <patternFill patternType="solid">
        <fgColor theme="0"/>
        <bgColor rgb="FFDFF0D8"/>
      </patternFill>
    </fill>
    <fill>
      <patternFill patternType="solid">
        <fgColor theme="0"/>
        <bgColor indexed="64"/>
      </patternFill>
    </fill>
    <fill>
      <patternFill patternType="solid">
        <fgColor rgb="FF92D050"/>
        <bgColor rgb="FFDFF0D8"/>
      </patternFill>
    </fill>
    <fill>
      <patternFill patternType="solid">
        <fgColor rgb="FF92D050"/>
        <bgColor indexed="64"/>
      </patternFill>
    </fill>
    <fill>
      <patternFill patternType="solid">
        <fgColor theme="3" tint="9.9978637043366805E-2"/>
        <bgColor indexed="64"/>
      </patternFill>
    </fill>
    <fill>
      <patternFill patternType="solid">
        <fgColor theme="1"/>
        <bgColor indexed="64"/>
      </patternFill>
    </fill>
    <fill>
      <patternFill patternType="solid">
        <fgColor theme="1" tint="4.9989318521683403E-2"/>
        <bgColor indexed="64"/>
      </patternFill>
    </fill>
    <fill>
      <patternFill patternType="solid">
        <fgColor theme="0" tint="-0.499984740745262"/>
        <bgColor indexed="64"/>
      </patternFill>
    </fill>
    <fill>
      <patternFill patternType="solid">
        <fgColor indexed="43"/>
        <bgColor indexed="64"/>
      </patternFill>
    </fill>
    <fill>
      <patternFill patternType="solid">
        <fgColor indexed="42"/>
        <bgColor indexed="64"/>
      </patternFill>
    </fill>
    <fill>
      <patternFill patternType="solid">
        <fgColor indexed="31"/>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rgb="FFCCCCCC"/>
      </left>
      <right style="thin">
        <color rgb="FFCCCCCC"/>
      </right>
      <top style="thin">
        <color rgb="FFCCCCCC"/>
      </top>
      <bottom/>
      <diagonal/>
    </border>
    <border>
      <left style="thin">
        <color rgb="FFCCCCCC"/>
      </left>
      <right/>
      <top style="thin">
        <color rgb="FFCCCCCC"/>
      </top>
      <bottom/>
      <diagonal/>
    </border>
    <border>
      <left/>
      <right/>
      <top style="thin">
        <color rgb="FFCCCCCC"/>
      </top>
      <bottom/>
      <diagonal/>
    </border>
    <border>
      <left/>
      <right style="thin">
        <color rgb="FFCCCCCC"/>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rgb="FFCCCCCC"/>
      </left>
      <right style="thin">
        <color rgb="FFCCCCCC"/>
      </right>
      <top style="thin">
        <color rgb="FFCCCCCC"/>
      </top>
      <bottom style="thin">
        <color rgb="FFCCCCCC"/>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rgb="FFCCCCCC"/>
      </right>
      <top style="thin">
        <color rgb="FFCCCCCC"/>
      </top>
      <bottom/>
      <diagonal/>
    </border>
    <border>
      <left style="thin">
        <color rgb="FFCCCCCC"/>
      </left>
      <right style="medium">
        <color indexed="64"/>
      </right>
      <top style="thin">
        <color rgb="FFCCCCCC"/>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rgb="FFCCCCCC"/>
      </right>
      <top style="thin">
        <color rgb="FFCCCCCC"/>
      </top>
      <bottom style="thin">
        <color rgb="FFCCCCCC"/>
      </bottom>
      <diagonal/>
    </border>
    <border>
      <left style="thin">
        <color rgb="FFCCCCCC"/>
      </left>
      <right style="medium">
        <color indexed="64"/>
      </right>
      <top style="thin">
        <color rgb="FFCCCCCC"/>
      </top>
      <bottom style="thin">
        <color rgb="FFCCCCCC"/>
      </bottom>
      <diagonal/>
    </border>
    <border>
      <left/>
      <right/>
      <top/>
      <bottom style="thick">
        <color rgb="FFFF5500"/>
      </bottom>
      <diagonal/>
    </border>
    <border>
      <left/>
      <right/>
      <top/>
      <bottom style="thick">
        <color rgb="FF0092F6"/>
      </bottom>
      <diagonal/>
    </border>
    <border>
      <left style="thick">
        <color indexed="64"/>
      </left>
      <right/>
      <top/>
      <bottom/>
      <diagonal/>
    </border>
    <border>
      <left/>
      <right/>
      <top style="hair">
        <color indexed="64"/>
      </top>
      <bottom/>
      <diagonal/>
    </border>
    <border>
      <left/>
      <right/>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thin">
        <color indexed="64"/>
      </right>
      <top style="hair">
        <color indexed="64"/>
      </top>
      <bottom/>
      <diagonal/>
    </border>
    <border>
      <left style="hair">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bottom style="thick">
        <color rgb="FFFF5500"/>
      </bottom>
      <diagonal/>
    </border>
    <border>
      <left/>
      <right style="medium">
        <color indexed="64"/>
      </right>
      <top/>
      <bottom style="thick">
        <color rgb="FF0092F6"/>
      </bottom>
      <diagonal/>
    </border>
  </borders>
  <cellStyleXfs count="4">
    <xf numFmtId="0" fontId="0" fillId="0" borderId="0"/>
    <xf numFmtId="0" fontId="11" fillId="0" borderId="0"/>
    <xf numFmtId="0" fontId="1" fillId="0" borderId="0"/>
    <xf numFmtId="9" fontId="40" fillId="0" borderId="0" applyFont="0" applyFill="0" applyBorder="0" applyAlignment="0" applyProtection="0"/>
  </cellStyleXfs>
  <cellXfs count="463">
    <xf numFmtId="0" fontId="0" fillId="0" borderId="0" xfId="0"/>
    <xf numFmtId="0" fontId="11" fillId="0" borderId="0" xfId="1" applyAlignment="1">
      <alignment horizontal="center" vertical="center"/>
    </xf>
    <xf numFmtId="2" fontId="13" fillId="9" borderId="1" xfId="0" applyNumberFormat="1" applyFont="1" applyFill="1" applyBorder="1" applyAlignment="1">
      <alignment horizontal="center" vertical="center" wrapText="1"/>
    </xf>
    <xf numFmtId="2" fontId="5" fillId="9" borderId="1" xfId="0" applyNumberFormat="1" applyFont="1" applyFill="1" applyBorder="1" applyAlignment="1">
      <alignment horizontal="center" vertical="center" wrapText="1"/>
    </xf>
    <xf numFmtId="2" fontId="13" fillId="11" borderId="1" xfId="0" applyNumberFormat="1" applyFont="1" applyFill="1" applyBorder="1" applyAlignment="1">
      <alignment horizontal="center" vertical="center" wrapText="1"/>
    </xf>
    <xf numFmtId="2" fontId="14" fillId="11"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0" fillId="0" borderId="0" xfId="0" applyAlignment="1">
      <alignment horizontal="center" vertical="center"/>
    </xf>
    <xf numFmtId="2" fontId="5" fillId="9" borderId="6" xfId="0" applyNumberFormat="1" applyFont="1" applyFill="1" applyBorder="1" applyAlignment="1">
      <alignment horizontal="center" vertical="center" wrapText="1"/>
    </xf>
    <xf numFmtId="0" fontId="18" fillId="0" borderId="0" xfId="0" applyFont="1"/>
    <xf numFmtId="2" fontId="13" fillId="9" borderId="10" xfId="0" applyNumberFormat="1" applyFont="1" applyFill="1" applyBorder="1" applyAlignment="1">
      <alignment horizontal="center" vertical="center" wrapText="1"/>
    </xf>
    <xf numFmtId="0" fontId="11" fillId="11" borderId="0" xfId="1" applyFill="1" applyAlignment="1">
      <alignment horizontal="center" vertical="center"/>
    </xf>
    <xf numFmtId="2" fontId="16" fillId="0" borderId="1" xfId="1" applyNumberFormat="1" applyFont="1" applyBorder="1" applyAlignment="1">
      <alignment horizontal="center" vertical="center"/>
    </xf>
    <xf numFmtId="2" fontId="15" fillId="0" borderId="1" xfId="1" applyNumberFormat="1" applyFont="1" applyBorder="1" applyAlignment="1">
      <alignment horizontal="center" vertical="center"/>
    </xf>
    <xf numFmtId="2" fontId="9" fillId="9" borderId="1" xfId="0" applyNumberFormat="1" applyFont="1" applyFill="1" applyBorder="1" applyAlignment="1">
      <alignment horizontal="center" vertical="center" wrapText="1"/>
    </xf>
    <xf numFmtId="2" fontId="14" fillId="9" borderId="1" xfId="0" applyNumberFormat="1" applyFont="1" applyFill="1" applyBorder="1" applyAlignment="1">
      <alignment horizontal="center" vertical="center" wrapText="1"/>
    </xf>
    <xf numFmtId="2" fontId="14" fillId="11" borderId="6" xfId="0" applyNumberFormat="1" applyFont="1" applyFill="1" applyBorder="1" applyAlignment="1">
      <alignment horizontal="center" vertical="center" wrapText="1"/>
    </xf>
    <xf numFmtId="2" fontId="16" fillId="0" borderId="1" xfId="1" applyNumberFormat="1" applyFont="1" applyBorder="1" applyAlignment="1">
      <alignment horizontal="center"/>
    </xf>
    <xf numFmtId="2" fontId="5" fillId="9" borderId="13" xfId="0" applyNumberFormat="1" applyFont="1" applyFill="1" applyBorder="1" applyAlignment="1">
      <alignment horizontal="center" vertical="center" wrapText="1"/>
    </xf>
    <xf numFmtId="2" fontId="12" fillId="10" borderId="14" xfId="1" applyNumberFormat="1" applyFont="1" applyFill="1" applyBorder="1" applyAlignment="1">
      <alignment horizontal="center" vertical="center" wrapText="1"/>
    </xf>
    <xf numFmtId="2" fontId="13" fillId="9" borderId="15" xfId="0" applyNumberFormat="1" applyFont="1" applyFill="1" applyBorder="1" applyAlignment="1">
      <alignment horizontal="center" vertical="center" wrapText="1"/>
    </xf>
    <xf numFmtId="2" fontId="5" fillId="9" borderId="15" xfId="0" applyNumberFormat="1" applyFont="1" applyFill="1" applyBorder="1" applyAlignment="1">
      <alignment horizontal="center" vertical="center" wrapText="1"/>
    </xf>
    <xf numFmtId="2" fontId="14" fillId="0" borderId="1" xfId="0" applyNumberFormat="1" applyFont="1" applyBorder="1" applyAlignment="1">
      <alignment horizontal="center" vertical="center" wrapText="1"/>
    </xf>
    <xf numFmtId="2" fontId="0" fillId="0" borderId="0" xfId="0" applyNumberFormat="1" applyAlignment="1">
      <alignment horizontal="center" vertical="center"/>
    </xf>
    <xf numFmtId="0" fontId="5" fillId="7" borderId="1" xfId="0" applyFont="1" applyFill="1" applyBorder="1" applyAlignment="1">
      <alignment horizontal="center" vertical="center" wrapText="1"/>
    </xf>
    <xf numFmtId="2" fontId="0" fillId="0" borderId="0" xfId="0" applyNumberFormat="1"/>
    <xf numFmtId="164" fontId="5" fillId="9" borderId="1" xfId="0" applyNumberFormat="1" applyFont="1" applyFill="1" applyBorder="1" applyAlignment="1">
      <alignment horizontal="center" vertical="center" wrapText="1"/>
    </xf>
    <xf numFmtId="2" fontId="13" fillId="9" borderId="18" xfId="0" applyNumberFormat="1" applyFont="1" applyFill="1" applyBorder="1" applyAlignment="1">
      <alignment horizontal="center" vertical="center" wrapText="1"/>
    </xf>
    <xf numFmtId="2" fontId="14" fillId="11" borderId="18" xfId="0" applyNumberFormat="1" applyFont="1" applyFill="1" applyBorder="1" applyAlignment="1">
      <alignment horizontal="center" vertical="center" wrapText="1"/>
    </xf>
    <xf numFmtId="2" fontId="13" fillId="9" borderId="20" xfId="0" applyNumberFormat="1" applyFont="1" applyFill="1" applyBorder="1" applyAlignment="1">
      <alignment horizontal="center" vertical="center" wrapText="1"/>
    </xf>
    <xf numFmtId="2" fontId="13" fillId="11" borderId="18" xfId="0" applyNumberFormat="1" applyFont="1" applyFill="1" applyBorder="1" applyAlignment="1">
      <alignment horizontal="center" vertical="center" wrapText="1"/>
    </xf>
    <xf numFmtId="2" fontId="13" fillId="12" borderId="18" xfId="1" applyNumberFormat="1" applyFont="1" applyFill="1" applyBorder="1" applyAlignment="1">
      <alignment horizontal="center" vertical="center" wrapText="1"/>
    </xf>
    <xf numFmtId="2" fontId="13" fillId="9" borderId="14" xfId="0" applyNumberFormat="1" applyFont="1" applyFill="1" applyBorder="1" applyAlignment="1">
      <alignment horizontal="center" vertical="center" wrapText="1"/>
    </xf>
    <xf numFmtId="2" fontId="14" fillId="11" borderId="14" xfId="0" applyNumberFormat="1" applyFont="1" applyFill="1" applyBorder="1" applyAlignment="1">
      <alignment horizontal="center" vertical="center" wrapText="1"/>
    </xf>
    <xf numFmtId="2" fontId="13" fillId="11" borderId="14" xfId="0" applyNumberFormat="1" applyFont="1" applyFill="1" applyBorder="1" applyAlignment="1">
      <alignment horizontal="center" vertical="center" wrapText="1"/>
    </xf>
    <xf numFmtId="2" fontId="13" fillId="13" borderId="1" xfId="0" applyNumberFormat="1" applyFont="1" applyFill="1" applyBorder="1" applyAlignment="1">
      <alignment horizontal="center" vertical="center" wrapText="1"/>
    </xf>
    <xf numFmtId="2" fontId="13" fillId="10" borderId="14" xfId="1" applyNumberFormat="1" applyFont="1" applyFill="1" applyBorder="1" applyAlignment="1">
      <alignment horizontal="center" vertical="center" wrapText="1"/>
    </xf>
    <xf numFmtId="2" fontId="14" fillId="0" borderId="18" xfId="0" applyNumberFormat="1" applyFont="1" applyBorder="1" applyAlignment="1">
      <alignment horizontal="center" vertical="center" wrapText="1"/>
    </xf>
    <xf numFmtId="0" fontId="20" fillId="0" borderId="0" xfId="1" applyFont="1" applyAlignment="1">
      <alignment horizontal="center" vertical="center"/>
    </xf>
    <xf numFmtId="2" fontId="5" fillId="9" borderId="19" xfId="0" applyNumberFormat="1" applyFont="1" applyFill="1" applyBorder="1" applyAlignment="1">
      <alignment horizontal="center" vertical="center" wrapText="1"/>
    </xf>
    <xf numFmtId="2" fontId="5" fillId="9" borderId="1" xfId="0" applyNumberFormat="1" applyFont="1" applyFill="1" applyBorder="1" applyAlignment="1">
      <alignment vertical="center" wrapText="1"/>
    </xf>
    <xf numFmtId="2" fontId="5" fillId="9" borderId="7" xfId="0" applyNumberFormat="1" applyFont="1" applyFill="1" applyBorder="1" applyAlignment="1">
      <alignment vertical="center" wrapText="1"/>
    </xf>
    <xf numFmtId="2" fontId="13" fillId="9" borderId="0" xfId="0" applyNumberFormat="1" applyFont="1" applyFill="1" applyAlignment="1">
      <alignment horizontal="center" vertical="center" wrapText="1"/>
    </xf>
    <xf numFmtId="2" fontId="14" fillId="0" borderId="0" xfId="0" applyNumberFormat="1" applyFont="1" applyAlignment="1">
      <alignment horizontal="center" vertical="center" wrapText="1"/>
    </xf>
    <xf numFmtId="2" fontId="14" fillId="11" borderId="0" xfId="0" applyNumberFormat="1" applyFont="1" applyFill="1" applyAlignment="1">
      <alignment horizontal="center" vertical="center" wrapText="1"/>
    </xf>
    <xf numFmtId="2" fontId="13" fillId="9" borderId="0" xfId="0" applyNumberFormat="1" applyFont="1" applyFill="1" applyAlignment="1">
      <alignment vertical="center" wrapText="1"/>
    </xf>
    <xf numFmtId="2" fontId="13" fillId="11" borderId="0" xfId="0" applyNumberFormat="1" applyFont="1" applyFill="1" applyAlignment="1">
      <alignment horizontal="center" vertical="center" wrapText="1"/>
    </xf>
    <xf numFmtId="2" fontId="13" fillId="11" borderId="0" xfId="0" applyNumberFormat="1" applyFont="1" applyFill="1" applyAlignment="1">
      <alignment vertical="center" wrapText="1"/>
    </xf>
    <xf numFmtId="0" fontId="8" fillId="3" borderId="1" xfId="0" applyFont="1" applyFill="1" applyBorder="1" applyAlignment="1">
      <alignment horizontal="center" vertical="center" wrapText="1"/>
    </xf>
    <xf numFmtId="2" fontId="5" fillId="9" borderId="0" xfId="0" applyNumberFormat="1" applyFont="1" applyFill="1" applyAlignment="1">
      <alignment horizontal="center" vertical="center" wrapText="1"/>
    </xf>
    <xf numFmtId="0" fontId="5" fillId="6" borderId="1" xfId="0" applyFont="1" applyFill="1" applyBorder="1" applyAlignment="1">
      <alignment horizontal="center" vertical="center" wrapText="1"/>
    </xf>
    <xf numFmtId="10" fontId="14" fillId="11" borderId="1" xfId="0" applyNumberFormat="1" applyFont="1" applyFill="1" applyBorder="1" applyAlignment="1">
      <alignment horizontal="center" vertical="center" wrapText="1"/>
    </xf>
    <xf numFmtId="2" fontId="14" fillId="11" borderId="0" xfId="0" applyNumberFormat="1" applyFont="1" applyFill="1" applyAlignment="1">
      <alignment vertical="center" wrapText="1"/>
    </xf>
    <xf numFmtId="0" fontId="2" fillId="4" borderId="1" xfId="0" applyFont="1" applyFill="1" applyBorder="1" applyAlignment="1">
      <alignment horizontal="center" vertical="center" wrapText="1"/>
    </xf>
    <xf numFmtId="0" fontId="23" fillId="0" borderId="0" xfId="0" applyFont="1"/>
    <xf numFmtId="0" fontId="0" fillId="0" borderId="28" xfId="0" applyBorder="1"/>
    <xf numFmtId="0" fontId="2" fillId="2" borderId="15" xfId="0" applyFont="1" applyFill="1" applyBorder="1" applyAlignment="1">
      <alignment horizontal="left" vertical="top" wrapText="1"/>
    </xf>
    <xf numFmtId="2" fontId="4" fillId="4" borderId="18" xfId="0" applyNumberFormat="1" applyFont="1" applyFill="1" applyBorder="1" applyAlignment="1">
      <alignment horizontal="center" vertical="center" wrapText="1"/>
    </xf>
    <xf numFmtId="0" fontId="5" fillId="5" borderId="15" xfId="0" applyFont="1" applyFill="1" applyBorder="1" applyAlignment="1">
      <alignment horizontal="left" vertical="top" wrapText="1"/>
    </xf>
    <xf numFmtId="2" fontId="7" fillId="7" borderId="18" xfId="0" applyNumberFormat="1" applyFont="1" applyFill="1" applyBorder="1" applyAlignment="1">
      <alignment horizontal="center" vertical="center" wrapText="1"/>
    </xf>
    <xf numFmtId="2" fontId="14" fillId="10" borderId="14" xfId="1" applyNumberFormat="1" applyFont="1" applyFill="1" applyBorder="1" applyAlignment="1">
      <alignment horizontal="center" vertical="center" wrapText="1"/>
    </xf>
    <xf numFmtId="2" fontId="13" fillId="9" borderId="13" xfId="0" applyNumberFormat="1" applyFont="1" applyFill="1" applyBorder="1" applyAlignment="1">
      <alignment horizontal="center" vertical="center" wrapText="1"/>
    </xf>
    <xf numFmtId="0" fontId="16" fillId="0" borderId="15" xfId="1" applyFont="1" applyBorder="1" applyAlignment="1">
      <alignment horizontal="center" vertical="center"/>
    </xf>
    <xf numFmtId="2" fontId="14" fillId="11" borderId="36" xfId="0" applyNumberFormat="1" applyFont="1" applyFill="1" applyBorder="1" applyAlignment="1">
      <alignment horizontal="center" vertical="center" wrapText="1"/>
    </xf>
    <xf numFmtId="0" fontId="16" fillId="0" borderId="13" xfId="1" applyFont="1" applyBorder="1" applyAlignment="1">
      <alignment horizontal="center" vertical="center"/>
    </xf>
    <xf numFmtId="0" fontId="15" fillId="0" borderId="15" xfId="1" applyFont="1" applyBorder="1" applyAlignment="1">
      <alignment horizontal="center" vertical="center"/>
    </xf>
    <xf numFmtId="0" fontId="15" fillId="0" borderId="13" xfId="1" applyFont="1" applyBorder="1" applyAlignment="1">
      <alignment horizontal="center" vertical="center"/>
    </xf>
    <xf numFmtId="0" fontId="9" fillId="5" borderId="15" xfId="0" applyFont="1" applyFill="1" applyBorder="1" applyAlignment="1">
      <alignment horizontal="left" vertical="top" wrapText="1"/>
    </xf>
    <xf numFmtId="0" fontId="15" fillId="11" borderId="13" xfId="1" applyFont="1" applyFill="1" applyBorder="1" applyAlignment="1">
      <alignment horizontal="center" vertical="center"/>
    </xf>
    <xf numFmtId="2" fontId="5" fillId="11" borderId="0" xfId="0" applyNumberFormat="1" applyFont="1" applyFill="1" applyAlignment="1">
      <alignment horizontal="center" vertical="center" wrapText="1"/>
    </xf>
    <xf numFmtId="0" fontId="16" fillId="0" borderId="0" xfId="1" applyFont="1" applyAlignment="1">
      <alignment horizontal="center" vertical="center"/>
    </xf>
    <xf numFmtId="0" fontId="16" fillId="11" borderId="0" xfId="1" applyFont="1" applyFill="1" applyAlignment="1">
      <alignment horizontal="center" vertical="center"/>
    </xf>
    <xf numFmtId="2" fontId="14" fillId="10" borderId="18" xfId="1" applyNumberFormat="1" applyFont="1" applyFill="1" applyBorder="1" applyAlignment="1">
      <alignment horizontal="center" vertical="center" wrapText="1"/>
    </xf>
    <xf numFmtId="2" fontId="15" fillId="0" borderId="0" xfId="1" applyNumberFormat="1" applyFont="1" applyAlignment="1">
      <alignment vertical="center"/>
    </xf>
    <xf numFmtId="0" fontId="15" fillId="0" borderId="0" xfId="1" applyFont="1" applyAlignment="1">
      <alignment horizontal="center" vertical="center"/>
    </xf>
    <xf numFmtId="0" fontId="15" fillId="11" borderId="0" xfId="1" applyFont="1" applyFill="1" applyAlignment="1">
      <alignment horizontal="center" vertical="center"/>
    </xf>
    <xf numFmtId="2" fontId="16" fillId="0" borderId="0" xfId="1" applyNumberFormat="1" applyFont="1" applyAlignment="1">
      <alignment vertical="center"/>
    </xf>
    <xf numFmtId="2" fontId="19" fillId="11" borderId="0" xfId="0" applyNumberFormat="1" applyFont="1" applyFill="1" applyAlignment="1">
      <alignment horizontal="center" vertical="center" wrapText="1"/>
    </xf>
    <xf numFmtId="2" fontId="14" fillId="11" borderId="14" xfId="1" applyNumberFormat="1" applyFont="1" applyFill="1" applyBorder="1" applyAlignment="1">
      <alignment horizontal="center" vertical="center" wrapText="1"/>
    </xf>
    <xf numFmtId="0" fontId="5" fillId="7" borderId="15" xfId="0" applyFont="1" applyFill="1" applyBorder="1" applyAlignment="1">
      <alignment horizontal="left" vertical="top" wrapText="1"/>
    </xf>
    <xf numFmtId="0" fontId="2" fillId="4" borderId="15" xfId="0" applyFont="1" applyFill="1" applyBorder="1" applyAlignment="1">
      <alignment horizontal="left" vertical="top" wrapText="1"/>
    </xf>
    <xf numFmtId="0" fontId="15" fillId="0" borderId="15" xfId="1" applyFont="1" applyBorder="1" applyAlignment="1">
      <alignment vertical="center" wrapText="1"/>
    </xf>
    <xf numFmtId="0" fontId="15" fillId="0" borderId="15" xfId="1" applyFont="1" applyBorder="1" applyAlignment="1">
      <alignment horizontal="center" vertical="center" wrapText="1"/>
    </xf>
    <xf numFmtId="2" fontId="13" fillId="0" borderId="18" xfId="0" applyNumberFormat="1" applyFont="1" applyBorder="1" applyAlignment="1">
      <alignment horizontal="center" vertical="center" wrapText="1"/>
    </xf>
    <xf numFmtId="2" fontId="5" fillId="11" borderId="14" xfId="0" applyNumberFormat="1" applyFont="1" applyFill="1" applyBorder="1" applyAlignment="1">
      <alignment horizontal="center" vertical="center" wrapText="1"/>
    </xf>
    <xf numFmtId="2" fontId="13" fillId="0" borderId="14" xfId="0" applyNumberFormat="1" applyFont="1" applyBorder="1" applyAlignment="1">
      <alignment horizontal="center" vertical="center" wrapText="1"/>
    </xf>
    <xf numFmtId="2" fontId="9" fillId="9" borderId="15" xfId="0" applyNumberFormat="1" applyFont="1" applyFill="1" applyBorder="1" applyAlignment="1">
      <alignment horizontal="center" vertical="center" wrapText="1"/>
    </xf>
    <xf numFmtId="2" fontId="21" fillId="11" borderId="0" xfId="0" applyNumberFormat="1" applyFont="1" applyFill="1" applyAlignment="1">
      <alignment horizontal="center" vertical="center" wrapText="1"/>
    </xf>
    <xf numFmtId="2" fontId="19" fillId="11" borderId="14" xfId="0" applyNumberFormat="1" applyFont="1" applyFill="1" applyBorder="1" applyAlignment="1">
      <alignment horizontal="center" vertical="center" wrapText="1"/>
    </xf>
    <xf numFmtId="2" fontId="5" fillId="9" borderId="18" xfId="0" applyNumberFormat="1" applyFont="1" applyFill="1" applyBorder="1" applyAlignment="1">
      <alignment horizontal="center" vertical="center" wrapText="1"/>
    </xf>
    <xf numFmtId="0" fontId="8" fillId="4" borderId="15" xfId="0" applyFont="1" applyFill="1" applyBorder="1" applyAlignment="1">
      <alignment horizontal="left" vertical="top" wrapText="1"/>
    </xf>
    <xf numFmtId="2" fontId="8" fillId="4" borderId="18" xfId="0" applyNumberFormat="1" applyFont="1" applyFill="1" applyBorder="1" applyAlignment="1">
      <alignment horizontal="center" vertical="center" wrapText="1"/>
    </xf>
    <xf numFmtId="2" fontId="5" fillId="7" borderId="18" xfId="0" applyNumberFormat="1" applyFont="1" applyFill="1" applyBorder="1" applyAlignment="1">
      <alignment horizontal="center" vertical="center" wrapText="1"/>
    </xf>
    <xf numFmtId="2" fontId="14" fillId="0" borderId="14" xfId="0" applyNumberFormat="1" applyFont="1" applyBorder="1" applyAlignment="1">
      <alignment horizontal="center" vertical="center" wrapText="1"/>
    </xf>
    <xf numFmtId="2" fontId="13" fillId="9" borderId="15" xfId="0" applyNumberFormat="1" applyFont="1" applyFill="1" applyBorder="1" applyAlignment="1">
      <alignment vertical="center" wrapText="1"/>
    </xf>
    <xf numFmtId="2" fontId="5" fillId="9" borderId="0" xfId="0" applyNumberFormat="1" applyFont="1" applyFill="1" applyAlignment="1">
      <alignment vertical="center" wrapText="1"/>
    </xf>
    <xf numFmtId="2" fontId="5" fillId="9" borderId="15" xfId="0" applyNumberFormat="1" applyFont="1" applyFill="1" applyBorder="1" applyAlignment="1">
      <alignment vertical="center" wrapText="1"/>
    </xf>
    <xf numFmtId="2" fontId="16" fillId="0" borderId="18" xfId="1" applyNumberFormat="1" applyFont="1" applyBorder="1" applyAlignment="1">
      <alignment horizontal="center" vertical="center" wrapText="1"/>
    </xf>
    <xf numFmtId="2" fontId="5" fillId="9" borderId="14" xfId="0" applyNumberFormat="1" applyFont="1" applyFill="1" applyBorder="1" applyAlignment="1">
      <alignment horizontal="center" vertical="center" wrapText="1"/>
    </xf>
    <xf numFmtId="0" fontId="10" fillId="8" borderId="39" xfId="0" applyFont="1" applyFill="1" applyBorder="1" applyAlignment="1">
      <alignment horizontal="center" vertical="top" wrapText="1"/>
    </xf>
    <xf numFmtId="0" fontId="10" fillId="8" borderId="40" xfId="0" applyFont="1" applyFill="1" applyBorder="1" applyAlignment="1">
      <alignment horizontal="center" vertical="top" wrapText="1"/>
    </xf>
    <xf numFmtId="2" fontId="10" fillId="8" borderId="40" xfId="0" applyNumberFormat="1" applyFont="1" applyFill="1" applyBorder="1" applyAlignment="1">
      <alignment horizontal="center" vertical="top" wrapText="1"/>
    </xf>
    <xf numFmtId="0" fontId="10" fillId="8" borderId="40" xfId="0" applyFont="1" applyFill="1" applyBorder="1" applyAlignment="1">
      <alignment horizontal="center" vertical="center" wrapText="1"/>
    </xf>
    <xf numFmtId="2" fontId="10" fillId="8" borderId="41" xfId="0" applyNumberFormat="1" applyFont="1" applyFill="1" applyBorder="1" applyAlignment="1">
      <alignment horizontal="center" vertical="center" wrapText="1"/>
    </xf>
    <xf numFmtId="0" fontId="10" fillId="8" borderId="0" xfId="0" applyFont="1" applyFill="1" applyAlignment="1">
      <alignment horizontal="center" vertical="top" wrapText="1"/>
    </xf>
    <xf numFmtId="2" fontId="10" fillId="8" borderId="0" xfId="0" applyNumberFormat="1" applyFont="1" applyFill="1" applyAlignment="1">
      <alignment horizontal="center" vertical="top" wrapText="1"/>
    </xf>
    <xf numFmtId="0" fontId="10" fillId="8" borderId="0" xfId="0" applyFont="1" applyFill="1" applyAlignment="1">
      <alignment horizontal="center" vertical="center" wrapText="1"/>
    </xf>
    <xf numFmtId="0" fontId="10" fillId="8" borderId="13" xfId="0" applyFont="1" applyFill="1" applyBorder="1" applyAlignment="1">
      <alignment horizontal="center" vertical="top" wrapText="1"/>
    </xf>
    <xf numFmtId="2" fontId="10" fillId="8" borderId="14" xfId="0" applyNumberFormat="1" applyFont="1" applyFill="1" applyBorder="1" applyAlignment="1">
      <alignment horizontal="center" vertical="center" wrapText="1"/>
    </xf>
    <xf numFmtId="0" fontId="22" fillId="15" borderId="29" xfId="0" applyFont="1" applyFill="1" applyBorder="1" applyAlignment="1">
      <alignment horizontal="left" vertical="top" wrapText="1"/>
    </xf>
    <xf numFmtId="0" fontId="22" fillId="15" borderId="31" xfId="0" applyFont="1" applyFill="1" applyBorder="1" applyAlignment="1">
      <alignment horizontal="center" vertical="top" wrapText="1"/>
    </xf>
    <xf numFmtId="0" fontId="22" fillId="15" borderId="31" xfId="0" applyFont="1" applyFill="1" applyBorder="1" applyAlignment="1">
      <alignment vertical="top" wrapText="1"/>
    </xf>
    <xf numFmtId="0" fontId="24" fillId="15" borderId="20" xfId="0" applyFont="1" applyFill="1" applyBorder="1" applyAlignment="1">
      <alignment vertical="top" wrapText="1"/>
    </xf>
    <xf numFmtId="0" fontId="24" fillId="15" borderId="0" xfId="0" applyFont="1" applyFill="1" applyAlignment="1">
      <alignment horizontal="center" vertical="top" wrapText="1"/>
    </xf>
    <xf numFmtId="0" fontId="25" fillId="15" borderId="20" xfId="0" applyFont="1" applyFill="1" applyBorder="1" applyAlignment="1">
      <alignment horizontal="left" vertical="top" wrapText="1"/>
    </xf>
    <xf numFmtId="0" fontId="22" fillId="15" borderId="0" xfId="0" applyFont="1" applyFill="1" applyAlignment="1">
      <alignment horizontal="center" vertical="top" wrapText="1"/>
    </xf>
    <xf numFmtId="0" fontId="25" fillId="15" borderId="21" xfId="0" applyFont="1" applyFill="1" applyBorder="1" applyAlignment="1">
      <alignment horizontal="left" vertical="top" wrapText="1"/>
    </xf>
    <xf numFmtId="0" fontId="25" fillId="15" borderId="26" xfId="0" applyFont="1" applyFill="1" applyBorder="1" applyAlignment="1">
      <alignment vertical="top" wrapText="1"/>
    </xf>
    <xf numFmtId="0" fontId="25" fillId="15" borderId="27" xfId="0" applyFont="1" applyFill="1" applyBorder="1" applyAlignment="1">
      <alignment vertical="top" wrapText="1"/>
    </xf>
    <xf numFmtId="0" fontId="24" fillId="15" borderId="27" xfId="0" applyFont="1" applyFill="1" applyBorder="1" applyAlignment="1">
      <alignment horizontal="center" vertical="top" wrapText="1"/>
    </xf>
    <xf numFmtId="0" fontId="26" fillId="14" borderId="34" xfId="0" applyFont="1" applyFill="1" applyBorder="1" applyAlignment="1">
      <alignment horizontal="left" vertical="top" wrapText="1"/>
    </xf>
    <xf numFmtId="0" fontId="26" fillId="14" borderId="2" xfId="0" applyFont="1" applyFill="1" applyBorder="1" applyAlignment="1">
      <alignment horizontal="center" vertical="center" wrapText="1"/>
    </xf>
    <xf numFmtId="2" fontId="26" fillId="14" borderId="35" xfId="0" applyNumberFormat="1" applyFont="1" applyFill="1" applyBorder="1" applyAlignment="1">
      <alignment horizontal="center" vertical="center" wrapText="1"/>
    </xf>
    <xf numFmtId="0" fontId="24" fillId="15" borderId="0" xfId="0" applyFont="1" applyFill="1" applyAlignment="1">
      <alignment vertical="top" wrapText="1"/>
    </xf>
    <xf numFmtId="0" fontId="22" fillId="15" borderId="30" xfId="0" applyFont="1" applyFill="1" applyBorder="1" applyAlignment="1">
      <alignment vertical="top" wrapText="1"/>
    </xf>
    <xf numFmtId="0" fontId="24" fillId="15" borderId="8" xfId="0" applyFont="1" applyFill="1" applyBorder="1" applyAlignment="1">
      <alignment vertical="top" wrapText="1"/>
    </xf>
    <xf numFmtId="0" fontId="22" fillId="15" borderId="0" xfId="0" applyFont="1" applyFill="1" applyAlignment="1">
      <alignment vertical="top" wrapText="1"/>
    </xf>
    <xf numFmtId="0" fontId="26" fillId="14" borderId="22" xfId="0" applyFont="1" applyFill="1" applyBorder="1" applyAlignment="1">
      <alignment horizontal="left" vertical="top" wrapText="1"/>
    </xf>
    <xf numFmtId="0" fontId="26" fillId="14" borderId="22" xfId="0" applyFont="1" applyFill="1" applyBorder="1" applyAlignment="1">
      <alignment horizontal="right" vertical="top" wrapText="1"/>
    </xf>
    <xf numFmtId="0" fontId="26" fillId="14" borderId="22" xfId="0" applyFont="1" applyFill="1" applyBorder="1" applyAlignment="1">
      <alignment horizontal="center" vertical="top" wrapText="1"/>
    </xf>
    <xf numFmtId="2" fontId="22" fillId="15" borderId="32" xfId="0" applyNumberFormat="1" applyFont="1" applyFill="1" applyBorder="1" applyAlignment="1">
      <alignment vertical="top" wrapText="1"/>
    </xf>
    <xf numFmtId="2" fontId="2" fillId="4" borderId="18" xfId="0" applyNumberFormat="1" applyFont="1" applyFill="1" applyBorder="1" applyAlignment="1">
      <alignment horizontal="center" vertical="center" wrapText="1"/>
    </xf>
    <xf numFmtId="0" fontId="2" fillId="4" borderId="22" xfId="0" applyFont="1" applyFill="1" applyBorder="1" applyAlignment="1">
      <alignment horizontal="left" vertical="top" wrapText="1"/>
    </xf>
    <xf numFmtId="0" fontId="2" fillId="4" borderId="22" xfId="0" applyFont="1" applyFill="1" applyBorder="1" applyAlignment="1">
      <alignment horizontal="center" vertical="top" wrapText="1"/>
    </xf>
    <xf numFmtId="0" fontId="2" fillId="4" borderId="22" xfId="0" applyFont="1" applyFill="1" applyBorder="1" applyAlignment="1">
      <alignment horizontal="right" vertical="top" wrapText="1"/>
    </xf>
    <xf numFmtId="0" fontId="5" fillId="7" borderId="22" xfId="0" applyFont="1" applyFill="1" applyBorder="1" applyAlignment="1">
      <alignment horizontal="left" vertical="top" wrapText="1"/>
    </xf>
    <xf numFmtId="0" fontId="5" fillId="7" borderId="22" xfId="0" applyFont="1" applyFill="1" applyBorder="1" applyAlignment="1">
      <alignment horizontal="center" vertical="top" wrapText="1"/>
    </xf>
    <xf numFmtId="0" fontId="5" fillId="7" borderId="22" xfId="0" applyFont="1" applyFill="1" applyBorder="1" applyAlignment="1">
      <alignment horizontal="right" vertical="top" wrapText="1"/>
    </xf>
    <xf numFmtId="10" fontId="24" fillId="15" borderId="0" xfId="0" applyNumberFormat="1" applyFont="1" applyFill="1" applyAlignment="1">
      <alignment horizontal="left" vertical="top" wrapText="1"/>
    </xf>
    <xf numFmtId="2" fontId="22" fillId="15" borderId="0" xfId="0" applyNumberFormat="1" applyFont="1" applyFill="1" applyAlignment="1">
      <alignment vertical="top" wrapText="1"/>
    </xf>
    <xf numFmtId="2" fontId="24" fillId="15" borderId="0" xfId="0" applyNumberFormat="1" applyFont="1" applyFill="1" applyAlignment="1">
      <alignment horizontal="left" vertical="top" wrapText="1"/>
    </xf>
    <xf numFmtId="2" fontId="26" fillId="14" borderId="22" xfId="0" applyNumberFormat="1" applyFont="1" applyFill="1" applyBorder="1" applyAlignment="1">
      <alignment horizontal="right" vertical="top" wrapText="1"/>
    </xf>
    <xf numFmtId="2" fontId="2" fillId="4" borderId="22" xfId="0" applyNumberFormat="1" applyFont="1" applyFill="1" applyBorder="1" applyAlignment="1">
      <alignment horizontal="right" vertical="top" wrapText="1"/>
    </xf>
    <xf numFmtId="2" fontId="5" fillId="7" borderId="22" xfId="0" applyNumberFormat="1" applyFont="1" applyFill="1" applyBorder="1" applyAlignment="1">
      <alignment horizontal="right" vertical="top" wrapText="1"/>
    </xf>
    <xf numFmtId="165" fontId="26" fillId="14" borderId="22" xfId="0" applyNumberFormat="1" applyFont="1" applyFill="1" applyBorder="1" applyAlignment="1">
      <alignment horizontal="right" vertical="top" wrapText="1"/>
    </xf>
    <xf numFmtId="165" fontId="2" fillId="4" borderId="22" xfId="0" applyNumberFormat="1" applyFont="1" applyFill="1" applyBorder="1" applyAlignment="1">
      <alignment horizontal="right" vertical="top" wrapText="1"/>
    </xf>
    <xf numFmtId="165" fontId="5" fillId="7" borderId="22" xfId="0" applyNumberFormat="1" applyFont="1" applyFill="1" applyBorder="1" applyAlignment="1">
      <alignment horizontal="right" vertical="top" wrapText="1"/>
    </xf>
    <xf numFmtId="165" fontId="0" fillId="0" borderId="0" xfId="0" applyNumberFormat="1"/>
    <xf numFmtId="0" fontId="8" fillId="8" borderId="0" xfId="0" applyFont="1" applyFill="1" applyAlignment="1">
      <alignment horizontal="right" vertical="top" wrapText="1"/>
    </xf>
    <xf numFmtId="0" fontId="8" fillId="8" borderId="0" xfId="0" applyFont="1" applyFill="1" applyAlignment="1">
      <alignment horizontal="center" vertical="top" wrapText="1"/>
    </xf>
    <xf numFmtId="0" fontId="9" fillId="8" borderId="0" xfId="0" applyFont="1" applyFill="1" applyAlignment="1">
      <alignment horizontal="center" vertical="top" wrapText="1"/>
    </xf>
    <xf numFmtId="0" fontId="5" fillId="11" borderId="0" xfId="0" applyFont="1" applyFill="1" applyAlignment="1">
      <alignment horizontal="left" vertical="top" wrapText="1"/>
    </xf>
    <xf numFmtId="0" fontId="5" fillId="11" borderId="0" xfId="0" applyFont="1" applyFill="1" applyAlignment="1">
      <alignment horizontal="center" vertical="top" wrapText="1"/>
    </xf>
    <xf numFmtId="2" fontId="5" fillId="11" borderId="0" xfId="0" applyNumberFormat="1" applyFont="1" applyFill="1" applyAlignment="1">
      <alignment horizontal="right" vertical="top" wrapText="1"/>
    </xf>
    <xf numFmtId="165" fontId="5" fillId="11" borderId="0" xfId="0" applyNumberFormat="1" applyFont="1" applyFill="1" applyAlignment="1">
      <alignment horizontal="right" vertical="top" wrapText="1"/>
    </xf>
    <xf numFmtId="0" fontId="0" fillId="11" borderId="0" xfId="0" applyFill="1"/>
    <xf numFmtId="10" fontId="28" fillId="8" borderId="1" xfId="0" applyNumberFormat="1" applyFont="1" applyFill="1" applyBorder="1" applyAlignment="1">
      <alignment vertical="top" wrapText="1"/>
    </xf>
    <xf numFmtId="0" fontId="30" fillId="8" borderId="22" xfId="0" applyFont="1" applyFill="1" applyBorder="1" applyAlignment="1">
      <alignment horizontal="right" vertical="top" wrapText="1"/>
    </xf>
    <xf numFmtId="0" fontId="30" fillId="8" borderId="22" xfId="0" applyFont="1" applyFill="1" applyBorder="1" applyAlignment="1">
      <alignment horizontal="center" vertical="top" wrapText="1"/>
    </xf>
    <xf numFmtId="0" fontId="30" fillId="8" borderId="22" xfId="0" applyFont="1" applyFill="1" applyBorder="1" applyAlignment="1">
      <alignment horizontal="left" vertical="top" wrapText="1"/>
    </xf>
    <xf numFmtId="0" fontId="26" fillId="16" borderId="42" xfId="0" applyFont="1" applyFill="1" applyBorder="1" applyAlignment="1">
      <alignment horizontal="left" vertical="top" wrapText="1"/>
    </xf>
    <xf numFmtId="0" fontId="26" fillId="16" borderId="31" xfId="0" applyFont="1" applyFill="1" applyBorder="1" applyAlignment="1">
      <alignment horizontal="left" vertical="top" wrapText="1"/>
    </xf>
    <xf numFmtId="0" fontId="31" fillId="16" borderId="13" xfId="0" applyFont="1" applyFill="1" applyBorder="1" applyAlignment="1">
      <alignment horizontal="left" vertical="top" wrapText="1"/>
    </xf>
    <xf numFmtId="0" fontId="31" fillId="16" borderId="0" xfId="0" applyFont="1" applyFill="1" applyAlignment="1">
      <alignment horizontal="left" vertical="top" wrapText="1"/>
    </xf>
    <xf numFmtId="0" fontId="0" fillId="0" borderId="14" xfId="0" applyBorder="1"/>
    <xf numFmtId="0" fontId="2" fillId="4" borderId="43" xfId="0" applyFont="1" applyFill="1" applyBorder="1" applyAlignment="1">
      <alignment horizontal="left" vertical="top" wrapText="1"/>
    </xf>
    <xf numFmtId="0" fontId="30" fillId="8" borderId="43" xfId="0" applyFont="1" applyFill="1" applyBorder="1" applyAlignment="1">
      <alignment horizontal="left" vertical="top" wrapText="1"/>
    </xf>
    <xf numFmtId="0" fontId="30" fillId="8" borderId="44" xfId="0" applyFont="1" applyFill="1" applyBorder="1" applyAlignment="1">
      <alignment horizontal="right" vertical="top" wrapText="1"/>
    </xf>
    <xf numFmtId="0" fontId="5" fillId="7" borderId="43" xfId="0" applyFont="1" applyFill="1" applyBorder="1" applyAlignment="1">
      <alignment horizontal="left" vertical="top" wrapText="1"/>
    </xf>
    <xf numFmtId="0" fontId="8" fillId="8" borderId="13" xfId="0" applyFont="1" applyFill="1" applyBorder="1" applyAlignment="1">
      <alignment horizontal="right" vertical="top" wrapText="1"/>
    </xf>
    <xf numFmtId="0" fontId="9" fillId="8" borderId="13" xfId="0" applyFont="1" applyFill="1" applyBorder="1" applyAlignment="1">
      <alignment horizontal="center" vertical="top" wrapText="1"/>
    </xf>
    <xf numFmtId="0" fontId="9" fillId="8" borderId="0" xfId="0" applyFont="1" applyFill="1" applyAlignment="1">
      <alignment horizontal="left" vertical="top" wrapText="1"/>
    </xf>
    <xf numFmtId="0" fontId="8" fillId="8" borderId="13" xfId="0" applyFont="1" applyFill="1" applyBorder="1" applyAlignment="1">
      <alignment horizontal="center" vertical="top" wrapText="1"/>
    </xf>
    <xf numFmtId="0" fontId="0" fillId="0" borderId="41" xfId="0" applyBorder="1"/>
    <xf numFmtId="0" fontId="5" fillId="7" borderId="45" xfId="0" applyFont="1" applyFill="1" applyBorder="1" applyAlignment="1">
      <alignment horizontal="right" vertical="top" wrapText="1"/>
    </xf>
    <xf numFmtId="0" fontId="5" fillId="4" borderId="46" xfId="0" applyFont="1" applyFill="1" applyBorder="1" applyAlignment="1">
      <alignment horizontal="right" vertical="top" wrapText="1"/>
    </xf>
    <xf numFmtId="0" fontId="5" fillId="4" borderId="45" xfId="0" applyFont="1" applyFill="1" applyBorder="1" applyAlignment="1">
      <alignment horizontal="right" vertical="top" wrapText="1"/>
    </xf>
    <xf numFmtId="0" fontId="32" fillId="0" borderId="0" xfId="2" applyFont="1"/>
    <xf numFmtId="0" fontId="32" fillId="0" borderId="47" xfId="2" applyFont="1" applyBorder="1"/>
    <xf numFmtId="0" fontId="32" fillId="17" borderId="0" xfId="2" applyFont="1" applyFill="1"/>
    <xf numFmtId="0" fontId="32" fillId="0" borderId="0" xfId="2" applyFont="1" applyAlignment="1">
      <alignment horizontal="center" vertical="center"/>
    </xf>
    <xf numFmtId="0" fontId="32" fillId="0" borderId="0" xfId="2" applyFont="1" applyAlignment="1">
      <alignment horizontal="center"/>
    </xf>
    <xf numFmtId="0" fontId="1" fillId="0" borderId="0" xfId="2" applyAlignment="1">
      <alignment wrapText="1"/>
    </xf>
    <xf numFmtId="49" fontId="32" fillId="0" borderId="0" xfId="2" applyNumberFormat="1" applyFont="1" applyAlignment="1">
      <alignment wrapText="1"/>
    </xf>
    <xf numFmtId="14" fontId="33" fillId="18" borderId="0" xfId="2" applyNumberFormat="1" applyFont="1" applyFill="1" applyAlignment="1" applyProtection="1">
      <alignment horizontal="left" vertical="center" wrapText="1"/>
      <protection locked="0"/>
    </xf>
    <xf numFmtId="0" fontId="32" fillId="0" borderId="0" xfId="2" applyFont="1" applyAlignment="1">
      <alignment horizontal="right"/>
    </xf>
    <xf numFmtId="0" fontId="32" fillId="0" borderId="48" xfId="2" applyFont="1" applyBorder="1"/>
    <xf numFmtId="0" fontId="32" fillId="0" borderId="0" xfId="2" applyFont="1" applyAlignment="1">
      <alignment vertical="center"/>
    </xf>
    <xf numFmtId="0" fontId="32" fillId="0" borderId="47" xfId="2" applyFont="1" applyBorder="1" applyAlignment="1">
      <alignment vertical="center"/>
    </xf>
    <xf numFmtId="0" fontId="32" fillId="17" borderId="0" xfId="2" applyFont="1" applyFill="1" applyAlignment="1">
      <alignment vertical="center"/>
    </xf>
    <xf numFmtId="0" fontId="34" fillId="0" borderId="0" xfId="2" applyFont="1" applyAlignment="1">
      <alignment vertical="center"/>
    </xf>
    <xf numFmtId="0" fontId="34" fillId="0" borderId="49" xfId="2" applyFont="1" applyBorder="1" applyAlignment="1">
      <alignment vertical="center"/>
    </xf>
    <xf numFmtId="0" fontId="35" fillId="0" borderId="49" xfId="2" applyFont="1" applyBorder="1" applyAlignment="1">
      <alignment vertical="center" wrapText="1"/>
    </xf>
    <xf numFmtId="0" fontId="35" fillId="0" borderId="0" xfId="2" applyFont="1" applyAlignment="1">
      <alignment vertical="center" wrapText="1"/>
    </xf>
    <xf numFmtId="10" fontId="33" fillId="0" borderId="0" xfId="2" applyNumberFormat="1" applyFont="1" applyAlignment="1">
      <alignment horizontal="left" vertical="center" wrapText="1"/>
    </xf>
    <xf numFmtId="0" fontId="36" fillId="0" borderId="0" xfId="2" applyFont="1" applyAlignment="1">
      <alignment horizontal="right" vertical="center" wrapText="1"/>
    </xf>
    <xf numFmtId="0" fontId="33" fillId="0" borderId="0" xfId="2" applyFont="1" applyAlignment="1">
      <alignment horizontal="right" vertical="center" wrapText="1"/>
    </xf>
    <xf numFmtId="10" fontId="33" fillId="18" borderId="0" xfId="2" applyNumberFormat="1" applyFont="1" applyFill="1" applyAlignment="1" applyProtection="1">
      <alignment horizontal="left" vertical="center" wrapText="1"/>
      <protection locked="0"/>
    </xf>
    <xf numFmtId="10" fontId="38" fillId="0" borderId="0" xfId="2" applyNumberFormat="1" applyFont="1" applyAlignment="1">
      <alignment horizontal="centerContinuous" vertical="center"/>
    </xf>
    <xf numFmtId="0" fontId="39" fillId="0" borderId="0" xfId="2" applyFont="1" applyAlignment="1">
      <alignment horizontal="center"/>
    </xf>
    <xf numFmtId="10" fontId="41" fillId="0" borderId="1" xfId="3" applyNumberFormat="1" applyFont="1" applyFill="1" applyBorder="1"/>
    <xf numFmtId="0" fontId="41" fillId="0" borderId="11" xfId="2" applyFont="1" applyBorder="1"/>
    <xf numFmtId="0" fontId="41" fillId="0" borderId="10" xfId="2" applyFont="1" applyBorder="1"/>
    <xf numFmtId="0" fontId="39" fillId="0" borderId="0" xfId="2" applyFont="1"/>
    <xf numFmtId="10" fontId="38" fillId="19" borderId="1" xfId="2" applyNumberFormat="1" applyFont="1" applyFill="1" applyBorder="1" applyAlignment="1">
      <alignment horizontal="center" vertical="center"/>
    </xf>
    <xf numFmtId="10" fontId="32" fillId="0" borderId="1" xfId="3" applyNumberFormat="1" applyFont="1" applyFill="1" applyBorder="1"/>
    <xf numFmtId="0" fontId="32" fillId="0" borderId="11" xfId="2" applyFont="1" applyBorder="1"/>
    <xf numFmtId="10" fontId="32" fillId="0" borderId="51" xfId="3" applyNumberFormat="1" applyFont="1" applyFill="1" applyBorder="1" applyAlignment="1" applyProtection="1">
      <alignment horizontal="right"/>
    </xf>
    <xf numFmtId="0" fontId="32" fillId="0" borderId="52" xfId="2" applyFont="1" applyBorder="1" applyAlignment="1">
      <alignment horizontal="center"/>
    </xf>
    <xf numFmtId="0" fontId="32" fillId="0" borderId="53" xfId="2" applyFont="1" applyBorder="1"/>
    <xf numFmtId="0" fontId="32" fillId="0" borderId="49" xfId="2" applyFont="1" applyBorder="1"/>
    <xf numFmtId="0" fontId="32" fillId="0" borderId="54" xfId="2" applyFont="1" applyBorder="1"/>
    <xf numFmtId="0" fontId="32" fillId="0" borderId="55" xfId="2" applyFont="1" applyBorder="1"/>
    <xf numFmtId="0" fontId="32" fillId="0" borderId="9" xfId="2" applyFont="1" applyBorder="1" applyAlignment="1">
      <alignment horizontal="center"/>
    </xf>
    <xf numFmtId="0" fontId="32" fillId="0" borderId="56" xfId="2" applyFont="1" applyBorder="1"/>
    <xf numFmtId="0" fontId="32" fillId="0" borderId="57" xfId="2" applyFont="1" applyBorder="1"/>
    <xf numFmtId="0" fontId="32" fillId="0" borderId="8" xfId="2" applyFont="1" applyBorder="1"/>
    <xf numFmtId="10" fontId="32" fillId="0" borderId="59" xfId="3" applyNumberFormat="1" applyFont="1" applyFill="1" applyBorder="1" applyProtection="1"/>
    <xf numFmtId="0" fontId="32" fillId="0" borderId="60" xfId="2" applyFont="1" applyBorder="1"/>
    <xf numFmtId="0" fontId="32" fillId="0" borderId="61" xfId="2" applyFont="1" applyBorder="1"/>
    <xf numFmtId="10" fontId="32" fillId="18" borderId="51" xfId="3" applyNumberFormat="1" applyFont="1" applyFill="1" applyBorder="1" applyProtection="1">
      <protection locked="0"/>
    </xf>
    <xf numFmtId="0" fontId="32" fillId="0" borderId="62" xfId="2" applyFont="1" applyBorder="1"/>
    <xf numFmtId="10" fontId="38" fillId="19" borderId="63" xfId="2" applyNumberFormat="1" applyFont="1" applyFill="1" applyBorder="1" applyAlignment="1">
      <alignment horizontal="center" vertical="center"/>
    </xf>
    <xf numFmtId="10" fontId="38" fillId="19" borderId="64" xfId="2" applyNumberFormat="1" applyFont="1" applyFill="1" applyBorder="1" applyAlignment="1">
      <alignment horizontal="center" vertical="center"/>
    </xf>
    <xf numFmtId="0" fontId="32" fillId="0" borderId="59" xfId="2" applyFont="1" applyBorder="1" applyAlignment="1">
      <alignment horizontal="center"/>
    </xf>
    <xf numFmtId="10" fontId="38" fillId="19" borderId="50" xfId="2" applyNumberFormat="1" applyFont="1" applyFill="1" applyBorder="1" applyAlignment="1">
      <alignment horizontal="center" vertical="center"/>
    </xf>
    <xf numFmtId="10" fontId="38" fillId="19" borderId="7" xfId="2" applyNumberFormat="1" applyFont="1" applyFill="1" applyBorder="1" applyAlignment="1">
      <alignment horizontal="center" vertical="center"/>
    </xf>
    <xf numFmtId="10" fontId="38" fillId="19" borderId="58" xfId="2" applyNumberFormat="1" applyFont="1" applyFill="1" applyBorder="1" applyAlignment="1">
      <alignment horizontal="center" vertical="center"/>
    </xf>
    <xf numFmtId="10" fontId="38" fillId="19" borderId="9" xfId="2" applyNumberFormat="1" applyFont="1" applyFill="1" applyBorder="1" applyAlignment="1">
      <alignment horizontal="center" vertical="center"/>
    </xf>
    <xf numFmtId="10" fontId="32" fillId="18" borderId="59" xfId="3" applyNumberFormat="1" applyFont="1" applyFill="1" applyBorder="1" applyProtection="1">
      <protection locked="0"/>
    </xf>
    <xf numFmtId="0" fontId="32" fillId="0" borderId="65" xfId="2" applyFont="1" applyBorder="1"/>
    <xf numFmtId="10" fontId="38" fillId="19" borderId="53" xfId="2" applyNumberFormat="1" applyFont="1" applyFill="1" applyBorder="1" applyAlignment="1">
      <alignment horizontal="center" vertical="center"/>
    </xf>
    <xf numFmtId="10" fontId="38" fillId="19" borderId="59" xfId="2" applyNumberFormat="1" applyFont="1" applyFill="1" applyBorder="1" applyAlignment="1">
      <alignment horizontal="center" vertical="center"/>
    </xf>
    <xf numFmtId="10" fontId="38" fillId="19" borderId="66" xfId="2" applyNumberFormat="1" applyFont="1" applyFill="1" applyBorder="1" applyAlignment="1">
      <alignment horizontal="center" vertical="center"/>
    </xf>
    <xf numFmtId="10" fontId="38" fillId="19" borderId="52" xfId="2" applyNumberFormat="1" applyFont="1" applyFill="1" applyBorder="1" applyAlignment="1">
      <alignment horizontal="center" vertical="center"/>
    </xf>
    <xf numFmtId="10" fontId="38" fillId="19" borderId="67" xfId="2" applyNumberFormat="1" applyFont="1" applyFill="1" applyBorder="1" applyAlignment="1">
      <alignment horizontal="center" vertical="center"/>
    </xf>
    <xf numFmtId="10" fontId="38" fillId="19" borderId="68" xfId="2" applyNumberFormat="1" applyFont="1" applyFill="1" applyBorder="1" applyAlignment="1">
      <alignment horizontal="center" vertical="center"/>
    </xf>
    <xf numFmtId="10" fontId="32" fillId="18" borderId="52" xfId="3" applyNumberFormat="1" applyFont="1" applyFill="1" applyBorder="1" applyProtection="1">
      <protection locked="0"/>
    </xf>
    <xf numFmtId="10" fontId="32" fillId="17" borderId="0" xfId="3" applyNumberFormat="1" applyFont="1" applyFill="1"/>
    <xf numFmtId="0" fontId="42" fillId="0" borderId="0" xfId="2" applyFont="1" applyAlignment="1">
      <alignment horizontal="center" vertical="center"/>
    </xf>
    <xf numFmtId="0" fontId="42" fillId="0" borderId="0" xfId="2" applyFont="1" applyAlignment="1">
      <alignment horizontal="center"/>
    </xf>
    <xf numFmtId="0" fontId="43" fillId="0" borderId="1" xfId="2" applyFont="1" applyBorder="1" applyAlignment="1">
      <alignment horizontal="center"/>
    </xf>
    <xf numFmtId="0" fontId="43" fillId="0" borderId="11" xfId="2" applyFont="1" applyBorder="1" applyAlignment="1">
      <alignment horizontal="center"/>
    </xf>
    <xf numFmtId="0" fontId="43" fillId="0" borderId="10" xfId="2" applyFont="1" applyBorder="1" applyAlignment="1">
      <alignment horizontal="center"/>
    </xf>
    <xf numFmtId="0" fontId="42" fillId="0" borderId="0" xfId="2" applyFont="1"/>
    <xf numFmtId="10" fontId="32" fillId="17" borderId="0" xfId="3" applyNumberFormat="1" applyFont="1" applyFill="1" applyAlignment="1">
      <alignment horizontal="center"/>
    </xf>
    <xf numFmtId="0" fontId="42" fillId="0" borderId="0" xfId="2" applyFont="1" applyAlignment="1">
      <alignment horizontal="centerContinuous" vertical="center"/>
    </xf>
    <xf numFmtId="0" fontId="32" fillId="0" borderId="0" xfId="2" applyFont="1" applyAlignment="1">
      <alignment horizontal="left" vertical="center"/>
    </xf>
    <xf numFmtId="0" fontId="32" fillId="0" borderId="0" xfId="2" applyFont="1" applyAlignment="1">
      <alignment horizontal="left" vertical="top"/>
    </xf>
    <xf numFmtId="0" fontId="1" fillId="0" borderId="50" xfId="2" applyBorder="1"/>
    <xf numFmtId="0" fontId="1" fillId="0" borderId="27" xfId="2" applyBorder="1"/>
    <xf numFmtId="0" fontId="44" fillId="0" borderId="26" xfId="2" applyFont="1" applyBorder="1" applyAlignment="1">
      <alignment horizontal="left" vertical="center"/>
    </xf>
    <xf numFmtId="0" fontId="44" fillId="0" borderId="50" xfId="2" applyFont="1" applyBorder="1" applyAlignment="1">
      <alignment vertical="center" wrapText="1"/>
    </xf>
    <xf numFmtId="0" fontId="32" fillId="0" borderId="27" xfId="2" applyFont="1" applyBorder="1"/>
    <xf numFmtId="49" fontId="44" fillId="0" borderId="26" xfId="2" applyNumberFormat="1" applyFont="1" applyBorder="1" applyAlignment="1">
      <alignment vertical="center"/>
    </xf>
    <xf numFmtId="0" fontId="1" fillId="0" borderId="25" xfId="2" applyBorder="1"/>
    <xf numFmtId="0" fontId="1" fillId="0" borderId="24" xfId="2" applyBorder="1"/>
    <xf numFmtId="41" fontId="42" fillId="0" borderId="23" xfId="2" applyNumberFormat="1" applyFont="1" applyBorder="1" applyAlignment="1">
      <alignment vertical="center"/>
    </xf>
    <xf numFmtId="0" fontId="42" fillId="0" borderId="25" xfId="2" applyFont="1" applyBorder="1" applyAlignment="1">
      <alignment vertical="center"/>
    </xf>
    <xf numFmtId="0" fontId="32" fillId="0" borderId="24" xfId="2" applyFont="1" applyBorder="1"/>
    <xf numFmtId="0" fontId="42" fillId="0" borderId="23" xfId="2" applyFont="1" applyBorder="1" applyAlignment="1">
      <alignment vertical="center"/>
    </xf>
    <xf numFmtId="0" fontId="32" fillId="17" borderId="0" xfId="2" applyFont="1" applyFill="1" applyAlignment="1">
      <alignment horizontal="centerContinuous"/>
    </xf>
    <xf numFmtId="0" fontId="42" fillId="0" borderId="0" xfId="2" applyFont="1" applyAlignment="1">
      <alignment horizontal="left" vertical="center"/>
    </xf>
    <xf numFmtId="0" fontId="42" fillId="0" borderId="0" xfId="2" applyFont="1" applyAlignment="1" applyProtection="1">
      <alignment horizontal="left" vertical="center" wrapText="1"/>
      <protection hidden="1"/>
    </xf>
    <xf numFmtId="0" fontId="42" fillId="0" borderId="0" xfId="2" applyFont="1" applyAlignment="1">
      <alignment horizontal="left" vertical="center" wrapText="1"/>
    </xf>
    <xf numFmtId="0" fontId="41" fillId="17" borderId="0" xfId="2" applyFont="1" applyFill="1" applyAlignment="1">
      <alignment horizontal="center"/>
    </xf>
    <xf numFmtId="10" fontId="41" fillId="17" borderId="0" xfId="3" applyNumberFormat="1" applyFont="1" applyFill="1" applyBorder="1"/>
    <xf numFmtId="10" fontId="32" fillId="17" borderId="0" xfId="2" applyNumberFormat="1" applyFont="1" applyFill="1"/>
    <xf numFmtId="0" fontId="42" fillId="0" borderId="23" xfId="2" applyFont="1" applyBorder="1" applyAlignment="1">
      <alignment horizontal="left" vertical="center"/>
    </xf>
    <xf numFmtId="0" fontId="41" fillId="17" borderId="0" xfId="2" applyFont="1" applyFill="1"/>
    <xf numFmtId="0" fontId="1" fillId="0" borderId="0" xfId="2"/>
    <xf numFmtId="0" fontId="41" fillId="0" borderId="0" xfId="2" applyFont="1" applyAlignment="1">
      <alignment vertical="center"/>
    </xf>
    <xf numFmtId="2" fontId="22" fillId="15" borderId="31" xfId="0" applyNumberFormat="1" applyFont="1" applyFill="1" applyBorder="1" applyAlignment="1">
      <alignment vertical="top" wrapText="1"/>
    </xf>
    <xf numFmtId="0" fontId="26" fillId="14" borderId="43" xfId="0" applyFont="1" applyFill="1" applyBorder="1" applyAlignment="1">
      <alignment horizontal="left" vertical="top" wrapText="1"/>
    </xf>
    <xf numFmtId="165" fontId="26" fillId="14" borderId="44" xfId="0" applyNumberFormat="1" applyFont="1" applyFill="1" applyBorder="1" applyAlignment="1">
      <alignment horizontal="right" vertical="top" wrapText="1"/>
    </xf>
    <xf numFmtId="165" fontId="2" fillId="4" borderId="44" xfId="0" applyNumberFormat="1" applyFont="1" applyFill="1" applyBorder="1" applyAlignment="1">
      <alignment horizontal="right" vertical="top" wrapText="1"/>
    </xf>
    <xf numFmtId="165" fontId="5" fillId="7" borderId="44" xfId="0" applyNumberFormat="1" applyFont="1" applyFill="1" applyBorder="1" applyAlignment="1">
      <alignment horizontal="right" vertical="top" wrapText="1"/>
    </xf>
    <xf numFmtId="0" fontId="5" fillId="11" borderId="13" xfId="0" applyFont="1" applyFill="1" applyBorder="1" applyAlignment="1">
      <alignment horizontal="left" vertical="top" wrapText="1"/>
    </xf>
    <xf numFmtId="165" fontId="5" fillId="11" borderId="14" xfId="0" applyNumberFormat="1" applyFont="1" applyFill="1" applyBorder="1" applyAlignment="1">
      <alignment horizontal="right" vertical="top" wrapText="1"/>
    </xf>
    <xf numFmtId="165" fontId="28" fillId="8" borderId="18" xfId="0" applyNumberFormat="1" applyFont="1" applyFill="1" applyBorder="1" applyAlignment="1">
      <alignment vertical="top" wrapText="1"/>
    </xf>
    <xf numFmtId="0" fontId="8" fillId="8" borderId="14" xfId="0" applyFont="1" applyFill="1" applyBorder="1" applyAlignment="1">
      <alignment horizontal="center" vertical="top" wrapText="1"/>
    </xf>
    <xf numFmtId="0" fontId="0" fillId="0" borderId="0" xfId="0" applyAlignment="1">
      <alignment horizontal="center"/>
    </xf>
    <xf numFmtId="0" fontId="8" fillId="8" borderId="14" xfId="0" applyFont="1" applyFill="1" applyBorder="1" applyAlignment="1">
      <alignment horizontal="right" vertical="top" wrapText="1"/>
    </xf>
    <xf numFmtId="0" fontId="5" fillId="7" borderId="69" xfId="0" applyFont="1" applyFill="1" applyBorder="1" applyAlignment="1">
      <alignment horizontal="right" vertical="top" wrapText="1"/>
    </xf>
    <xf numFmtId="0" fontId="5" fillId="4" borderId="70" xfId="0" applyFont="1" applyFill="1" applyBorder="1" applyAlignment="1">
      <alignment horizontal="right" vertical="top" wrapText="1"/>
    </xf>
    <xf numFmtId="0" fontId="2" fillId="4" borderId="44" xfId="0" applyFont="1" applyFill="1" applyBorder="1" applyAlignment="1">
      <alignment horizontal="right" vertical="top" wrapText="1"/>
    </xf>
    <xf numFmtId="0" fontId="5" fillId="4" borderId="69" xfId="0" applyFont="1" applyFill="1" applyBorder="1" applyAlignment="1">
      <alignment horizontal="right" vertical="top" wrapText="1"/>
    </xf>
    <xf numFmtId="0" fontId="31" fillId="16" borderId="0" xfId="0" applyFont="1" applyFill="1" applyAlignment="1">
      <alignment horizontal="center" vertical="top" wrapText="1"/>
    </xf>
    <xf numFmtId="0" fontId="26" fillId="16" borderId="31" xfId="0" applyFont="1" applyFill="1" applyBorder="1" applyAlignment="1">
      <alignment horizontal="center" vertical="top" wrapText="1"/>
    </xf>
    <xf numFmtId="0" fontId="9" fillId="8" borderId="39" xfId="0" applyFont="1" applyFill="1" applyBorder="1" applyAlignment="1">
      <alignment horizontal="center" vertical="top" wrapText="1"/>
    </xf>
    <xf numFmtId="0" fontId="0" fillId="0" borderId="40" xfId="0" applyBorder="1"/>
    <xf numFmtId="0" fontId="30" fillId="8" borderId="13" xfId="0" applyFont="1" applyFill="1" applyBorder="1" applyAlignment="1">
      <alignment horizontal="center" wrapText="1"/>
    </xf>
    <xf numFmtId="0" fontId="0" fillId="0" borderId="0" xfId="0"/>
    <xf numFmtId="0" fontId="26" fillId="16" borderId="31" xfId="0" applyFont="1" applyFill="1" applyBorder="1" applyAlignment="1">
      <alignment horizontal="center" vertical="top" wrapText="1"/>
    </xf>
    <xf numFmtId="0" fontId="26" fillId="16" borderId="32" xfId="0" applyFont="1" applyFill="1" applyBorder="1" applyAlignment="1">
      <alignment horizontal="center" vertical="top" wrapText="1"/>
    </xf>
    <xf numFmtId="0" fontId="31" fillId="16" borderId="0" xfId="0" applyFont="1" applyFill="1" applyAlignment="1">
      <alignment horizontal="center" vertical="top" wrapText="1"/>
    </xf>
    <xf numFmtId="0" fontId="31" fillId="16" borderId="14" xfId="0" applyFont="1" applyFill="1" applyBorder="1" applyAlignment="1">
      <alignment horizontal="center" vertical="top" wrapText="1"/>
    </xf>
    <xf numFmtId="0" fontId="8" fillId="8" borderId="13" xfId="0" applyFont="1" applyFill="1" applyBorder="1" applyAlignment="1">
      <alignment horizontal="left" vertical="top" wrapText="1"/>
    </xf>
    <xf numFmtId="0" fontId="8" fillId="8" borderId="0" xfId="0" applyFont="1" applyFill="1" applyAlignment="1">
      <alignment horizontal="left" vertical="top" wrapText="1"/>
    </xf>
    <xf numFmtId="0" fontId="33" fillId="18" borderId="0" xfId="2" applyFont="1" applyFill="1" applyAlignment="1" applyProtection="1">
      <alignment horizontal="left" vertical="center" wrapText="1"/>
      <protection locked="0"/>
    </xf>
    <xf numFmtId="0" fontId="32" fillId="18" borderId="0" xfId="2" applyFont="1" applyFill="1" applyAlignment="1" applyProtection="1">
      <alignment horizontal="left" vertical="center" wrapText="1"/>
      <protection locked="0"/>
    </xf>
    <xf numFmtId="0" fontId="35" fillId="0" borderId="0" xfId="2" applyFont="1" applyAlignment="1">
      <alignment horizontal="center" vertical="center" wrapText="1"/>
    </xf>
    <xf numFmtId="0" fontId="33" fillId="0" borderId="0" xfId="2" applyFont="1" applyAlignment="1">
      <alignment horizontal="right" vertical="center" wrapText="1"/>
    </xf>
    <xf numFmtId="0" fontId="36" fillId="0" borderId="0" xfId="2" applyFont="1" applyAlignment="1">
      <alignment horizontal="right" vertical="center" wrapText="1"/>
    </xf>
    <xf numFmtId="0" fontId="38" fillId="0" borderId="23" xfId="2" applyFont="1" applyBorder="1" applyAlignment="1">
      <alignment horizontal="center" vertical="center"/>
    </xf>
    <xf numFmtId="0" fontId="38" fillId="0" borderId="25" xfId="2" applyFont="1" applyBorder="1" applyAlignment="1">
      <alignment horizontal="center" vertical="center"/>
    </xf>
    <xf numFmtId="0" fontId="38" fillId="0" borderId="8" xfId="2" applyFont="1" applyBorder="1" applyAlignment="1">
      <alignment horizontal="center" vertical="center"/>
    </xf>
    <xf numFmtId="0" fontId="38" fillId="0" borderId="58" xfId="2" applyFont="1" applyBorder="1" applyAlignment="1">
      <alignment horizontal="center" vertical="center"/>
    </xf>
    <xf numFmtId="0" fontId="38" fillId="0" borderId="26" xfId="2" applyFont="1" applyBorder="1" applyAlignment="1">
      <alignment horizontal="center" vertical="center"/>
    </xf>
    <xf numFmtId="0" fontId="38" fillId="0" borderId="50" xfId="2" applyFont="1" applyBorder="1" applyAlignment="1">
      <alignment horizontal="center" vertical="center"/>
    </xf>
    <xf numFmtId="0" fontId="42" fillId="0" borderId="23" xfId="2" applyFont="1" applyBorder="1" applyAlignment="1">
      <alignment horizontal="left" vertical="center"/>
    </xf>
    <xf numFmtId="0" fontId="42" fillId="0" borderId="24" xfId="2" applyFont="1" applyBorder="1" applyAlignment="1">
      <alignment horizontal="left" vertical="center"/>
    </xf>
    <xf numFmtId="0" fontId="42" fillId="0" borderId="25" xfId="2" applyFont="1" applyBorder="1" applyAlignment="1">
      <alignment horizontal="left" vertical="center"/>
    </xf>
    <xf numFmtId="0" fontId="44" fillId="0" borderId="26" xfId="2" applyFont="1" applyBorder="1" applyAlignment="1">
      <alignment horizontal="left" vertical="center"/>
    </xf>
    <xf numFmtId="0" fontId="44" fillId="0" borderId="27" xfId="2" applyFont="1" applyBorder="1" applyAlignment="1">
      <alignment horizontal="left" vertical="center"/>
    </xf>
    <xf numFmtId="0" fontId="44" fillId="0" borderId="50" xfId="2" applyFont="1" applyBorder="1" applyAlignment="1">
      <alignment horizontal="left" vertical="center"/>
    </xf>
    <xf numFmtId="0" fontId="32" fillId="0" borderId="0" xfId="2" applyFont="1" applyAlignment="1">
      <alignment horizontal="left"/>
    </xf>
    <xf numFmtId="0" fontId="41" fillId="0" borderId="0" xfId="2" applyFont="1" applyAlignment="1">
      <alignment horizontal="center" vertical="center"/>
    </xf>
    <xf numFmtId="0" fontId="32" fillId="20" borderId="0" xfId="2" applyFont="1" applyFill="1" applyAlignment="1" applyProtection="1">
      <alignment horizontal="left" vertical="top"/>
      <protection locked="0"/>
    </xf>
    <xf numFmtId="0" fontId="44" fillId="0" borderId="26" xfId="2" applyFont="1" applyBorder="1" applyAlignment="1">
      <alignment horizontal="left" vertical="center" wrapText="1"/>
    </xf>
    <xf numFmtId="0" fontId="44" fillId="0" borderId="27" xfId="2" applyFont="1" applyBorder="1" applyAlignment="1">
      <alignment horizontal="left" vertical="center" wrapText="1"/>
    </xf>
    <xf numFmtId="0" fontId="44" fillId="0" borderId="50" xfId="2" applyFont="1" applyBorder="1" applyAlignment="1">
      <alignment horizontal="left" vertical="center" wrapText="1"/>
    </xf>
    <xf numFmtId="49" fontId="44" fillId="0" borderId="26" xfId="2" applyNumberFormat="1" applyFont="1" applyBorder="1" applyAlignment="1">
      <alignment horizontal="left" vertical="center" wrapText="1"/>
    </xf>
    <xf numFmtId="49" fontId="44" fillId="0" borderId="27" xfId="2" applyNumberFormat="1" applyFont="1" applyBorder="1" applyAlignment="1">
      <alignment horizontal="left" vertical="center" wrapText="1"/>
    </xf>
    <xf numFmtId="49" fontId="44" fillId="0" borderId="50" xfId="2" applyNumberFormat="1" applyFont="1" applyBorder="1" applyAlignment="1">
      <alignment horizontal="left" vertical="center" wrapText="1"/>
    </xf>
    <xf numFmtId="0" fontId="8" fillId="8" borderId="13" xfId="0" applyFont="1" applyFill="1" applyBorder="1" applyAlignment="1">
      <alignment horizontal="right" vertical="top" wrapText="1"/>
    </xf>
    <xf numFmtId="0" fontId="8" fillId="8" borderId="0" xfId="0" applyFont="1" applyFill="1" applyAlignment="1">
      <alignment horizontal="right" vertical="top" wrapText="1"/>
    </xf>
    <xf numFmtId="0" fontId="8" fillId="8" borderId="1" xfId="0" applyFont="1" applyFill="1" applyBorder="1" applyAlignment="1">
      <alignment horizontal="left" vertical="top" wrapText="1"/>
    </xf>
    <xf numFmtId="0" fontId="8" fillId="8" borderId="1" xfId="0" applyFont="1" applyFill="1" applyBorder="1" applyAlignment="1">
      <alignment horizontal="right" vertical="top" wrapText="1"/>
    </xf>
    <xf numFmtId="165" fontId="8" fillId="8" borderId="1" xfId="0" applyNumberFormat="1" applyFont="1" applyFill="1" applyBorder="1" applyAlignment="1">
      <alignment horizontal="right" vertical="top" wrapText="1"/>
    </xf>
    <xf numFmtId="165" fontId="8" fillId="8" borderId="18" xfId="0" applyNumberFormat="1" applyFont="1" applyFill="1" applyBorder="1" applyAlignment="1">
      <alignment horizontal="right" vertical="top" wrapText="1"/>
    </xf>
    <xf numFmtId="0" fontId="0" fillId="0" borderId="41" xfId="0" applyBorder="1"/>
    <xf numFmtId="0" fontId="8" fillId="8" borderId="1" xfId="0" applyFont="1" applyFill="1" applyBorder="1" applyAlignment="1">
      <alignment horizontal="left" vertical="center" wrapText="1"/>
    </xf>
    <xf numFmtId="0" fontId="26" fillId="14" borderId="13" xfId="0" applyFont="1" applyFill="1" applyBorder="1" applyAlignment="1">
      <alignment horizontal="center" wrapText="1"/>
    </xf>
    <xf numFmtId="0" fontId="27" fillId="14" borderId="0" xfId="0" applyFont="1" applyFill="1"/>
    <xf numFmtId="0" fontId="27" fillId="14" borderId="14" xfId="0" applyFont="1" applyFill="1" applyBorder="1"/>
    <xf numFmtId="165" fontId="29" fillId="8" borderId="1" xfId="0" applyNumberFormat="1" applyFont="1" applyFill="1" applyBorder="1" applyAlignment="1">
      <alignment horizontal="right" vertical="top" wrapText="1"/>
    </xf>
    <xf numFmtId="165" fontId="29" fillId="8" borderId="18" xfId="0" applyNumberFormat="1" applyFont="1" applyFill="1" applyBorder="1" applyAlignment="1">
      <alignment horizontal="right" vertical="top" wrapText="1"/>
    </xf>
    <xf numFmtId="0" fontId="22" fillId="15" borderId="30" xfId="0" applyFont="1" applyFill="1" applyBorder="1" applyAlignment="1">
      <alignment horizontal="center" vertical="top" wrapText="1"/>
    </xf>
    <xf numFmtId="0" fontId="22" fillId="15" borderId="31" xfId="0" applyFont="1" applyFill="1" applyBorder="1" applyAlignment="1">
      <alignment horizontal="center" vertical="top" wrapText="1"/>
    </xf>
    <xf numFmtId="0" fontId="24" fillId="15" borderId="8" xfId="0" applyFont="1" applyFill="1" applyBorder="1" applyAlignment="1">
      <alignment horizontal="center" vertical="top" wrapText="1"/>
    </xf>
    <xf numFmtId="0" fontId="24" fillId="15" borderId="0" xfId="0" applyFont="1" applyFill="1" applyAlignment="1">
      <alignment horizontal="center" vertical="top" wrapText="1"/>
    </xf>
    <xf numFmtId="0" fontId="24" fillId="15" borderId="0" xfId="0" applyFont="1" applyFill="1" applyAlignment="1">
      <alignment horizontal="left" vertical="top" wrapText="1"/>
    </xf>
    <xf numFmtId="165" fontId="22" fillId="15" borderId="31" xfId="0" applyNumberFormat="1" applyFont="1" applyFill="1" applyBorder="1" applyAlignment="1">
      <alignment horizontal="center" vertical="top" wrapText="1"/>
    </xf>
    <xf numFmtId="165" fontId="22" fillId="15" borderId="32" xfId="0" applyNumberFormat="1" applyFont="1" applyFill="1" applyBorder="1" applyAlignment="1">
      <alignment horizontal="center" vertical="top" wrapText="1"/>
    </xf>
    <xf numFmtId="165" fontId="24" fillId="15" borderId="0" xfId="0" applyNumberFormat="1" applyFont="1" applyFill="1" applyAlignment="1">
      <alignment horizontal="center" vertical="top" wrapText="1"/>
    </xf>
    <xf numFmtId="165" fontId="24" fillId="15" borderId="14" xfId="0" applyNumberFormat="1" applyFont="1" applyFill="1" applyBorder="1" applyAlignment="1">
      <alignment horizontal="center" vertical="top" wrapText="1"/>
    </xf>
    <xf numFmtId="0" fontId="5" fillId="7" borderId="1" xfId="0" applyFont="1" applyFill="1" applyBorder="1" applyAlignment="1">
      <alignment horizontal="left" vertical="top" wrapText="1"/>
    </xf>
    <xf numFmtId="0" fontId="2" fillId="4" borderId="1" xfId="0" applyFont="1" applyFill="1" applyBorder="1" applyAlignment="1">
      <alignment horizontal="left" vertical="top" wrapText="1"/>
    </xf>
    <xf numFmtId="2" fontId="13" fillId="9" borderId="1" xfId="0" applyNumberFormat="1" applyFont="1" applyFill="1" applyBorder="1" applyAlignment="1">
      <alignment horizontal="center" vertical="center" wrapText="1"/>
    </xf>
    <xf numFmtId="2" fontId="5" fillId="9" borderId="6" xfId="0" applyNumberFormat="1" applyFont="1" applyFill="1" applyBorder="1" applyAlignment="1">
      <alignment horizontal="center" vertical="center" wrapText="1"/>
    </xf>
    <xf numFmtId="2" fontId="5" fillId="9" borderId="7" xfId="0" applyNumberFormat="1" applyFont="1" applyFill="1" applyBorder="1" applyAlignment="1">
      <alignment horizontal="center" vertical="center" wrapText="1"/>
    </xf>
    <xf numFmtId="2" fontId="5" fillId="9" borderId="19" xfId="0" applyNumberFormat="1" applyFont="1" applyFill="1" applyBorder="1" applyAlignment="1">
      <alignment horizontal="center" vertical="center" wrapText="1"/>
    </xf>
    <xf numFmtId="2" fontId="5" fillId="9" borderId="21" xfId="0" applyNumberFormat="1" applyFont="1" applyFill="1" applyBorder="1" applyAlignment="1">
      <alignment horizontal="center" vertical="center" wrapText="1"/>
    </xf>
    <xf numFmtId="2" fontId="13" fillId="9" borderId="15" xfId="0" applyNumberFormat="1" applyFont="1" applyFill="1" applyBorder="1" applyAlignment="1">
      <alignment horizontal="center" vertical="center" wrapText="1"/>
    </xf>
    <xf numFmtId="2" fontId="5" fillId="9" borderId="16" xfId="0" applyNumberFormat="1" applyFont="1" applyFill="1" applyBorder="1" applyAlignment="1">
      <alignment horizontal="center" vertical="center" wrapText="1"/>
    </xf>
    <xf numFmtId="2" fontId="5" fillId="9" borderId="11" xfId="0" applyNumberFormat="1" applyFont="1" applyFill="1" applyBorder="1" applyAlignment="1">
      <alignment horizontal="center" vertical="center" wrapText="1"/>
    </xf>
    <xf numFmtId="2" fontId="5" fillId="9" borderId="17" xfId="0" applyNumberFormat="1" applyFont="1" applyFill="1" applyBorder="1" applyAlignment="1">
      <alignment horizontal="center" vertical="center" wrapText="1"/>
    </xf>
    <xf numFmtId="0" fontId="16" fillId="0" borderId="19" xfId="1" applyFont="1" applyBorder="1" applyAlignment="1">
      <alignment horizontal="center" vertical="center" wrapText="1"/>
    </xf>
    <xf numFmtId="0" fontId="16" fillId="0" borderId="20" xfId="1" applyFont="1" applyBorder="1" applyAlignment="1">
      <alignment horizontal="center" vertical="center" wrapText="1"/>
    </xf>
    <xf numFmtId="0" fontId="16" fillId="0" borderId="15" xfId="1" applyFont="1" applyBorder="1" applyAlignment="1">
      <alignment horizontal="center" vertical="center" wrapText="1"/>
    </xf>
    <xf numFmtId="0" fontId="16" fillId="0" borderId="1" xfId="1" applyFont="1" applyBorder="1" applyAlignment="1">
      <alignment horizontal="center" vertical="center" wrapText="1"/>
    </xf>
    <xf numFmtId="2" fontId="13" fillId="11" borderId="6" xfId="0" applyNumberFormat="1" applyFont="1" applyFill="1" applyBorder="1" applyAlignment="1">
      <alignment horizontal="center" vertical="center" wrapText="1"/>
    </xf>
    <xf numFmtId="2" fontId="13" fillId="11" borderId="9" xfId="0" applyNumberFormat="1" applyFont="1" applyFill="1" applyBorder="1" applyAlignment="1">
      <alignment horizontal="center" vertical="center" wrapText="1"/>
    </xf>
    <xf numFmtId="2" fontId="13" fillId="11" borderId="7" xfId="0" applyNumberFormat="1" applyFont="1" applyFill="1" applyBorder="1" applyAlignment="1">
      <alignment horizontal="center" vertical="center" wrapText="1"/>
    </xf>
    <xf numFmtId="0" fontId="16" fillId="0" borderId="21" xfId="1" applyFont="1" applyBorder="1" applyAlignment="1">
      <alignment horizontal="center" vertical="center" wrapText="1"/>
    </xf>
    <xf numFmtId="0" fontId="16" fillId="0" borderId="16" xfId="1" applyFont="1" applyBorder="1" applyAlignment="1">
      <alignment horizontal="right" vertical="center" wrapText="1"/>
    </xf>
    <xf numFmtId="0" fontId="16" fillId="0" borderId="11" xfId="1" applyFont="1" applyBorder="1" applyAlignment="1">
      <alignment horizontal="right" vertical="center" wrapText="1"/>
    </xf>
    <xf numFmtId="0" fontId="16" fillId="0" borderId="12" xfId="1" applyFont="1" applyBorder="1" applyAlignment="1">
      <alignment horizontal="right" vertical="center" wrapText="1"/>
    </xf>
    <xf numFmtId="2" fontId="5" fillId="9" borderId="20" xfId="0" applyNumberFormat="1" applyFont="1" applyFill="1" applyBorder="1" applyAlignment="1">
      <alignment horizontal="center" vertical="center" wrapText="1"/>
    </xf>
    <xf numFmtId="2" fontId="5" fillId="9" borderId="9" xfId="0" applyNumberFormat="1" applyFont="1" applyFill="1" applyBorder="1" applyAlignment="1">
      <alignment horizontal="center" vertical="center" wrapText="1"/>
    </xf>
    <xf numFmtId="2" fontId="13" fillId="9" borderId="15" xfId="0" applyNumberFormat="1" applyFont="1" applyFill="1" applyBorder="1" applyAlignment="1">
      <alignment horizontal="right" vertical="center" wrapText="1"/>
    </xf>
    <xf numFmtId="2" fontId="13" fillId="9" borderId="1" xfId="0" applyNumberFormat="1" applyFont="1" applyFill="1" applyBorder="1" applyAlignment="1">
      <alignment horizontal="right" vertical="center" wrapText="1"/>
    </xf>
    <xf numFmtId="2" fontId="5" fillId="11" borderId="0" xfId="0" applyNumberFormat="1" applyFont="1" applyFill="1" applyAlignment="1">
      <alignment horizontal="center" vertical="center" wrapText="1"/>
    </xf>
    <xf numFmtId="2" fontId="5" fillId="11" borderId="14" xfId="0" applyNumberFormat="1" applyFont="1" applyFill="1" applyBorder="1" applyAlignment="1">
      <alignment horizontal="center" vertical="center" wrapText="1"/>
    </xf>
    <xf numFmtId="2" fontId="5" fillId="9" borderId="10" xfId="0" applyNumberFormat="1" applyFont="1" applyFill="1" applyBorder="1" applyAlignment="1">
      <alignment horizontal="center" vertical="center" wrapText="1"/>
    </xf>
    <xf numFmtId="2" fontId="5" fillId="9" borderId="12" xfId="0" applyNumberFormat="1" applyFont="1" applyFill="1" applyBorder="1" applyAlignment="1">
      <alignment horizontal="center" vertical="center" wrapText="1"/>
    </xf>
    <xf numFmtId="2" fontId="5" fillId="9" borderId="15" xfId="0" applyNumberFormat="1" applyFont="1" applyFill="1" applyBorder="1" applyAlignment="1">
      <alignment horizontal="center" vertical="center" wrapText="1"/>
    </xf>
    <xf numFmtId="2" fontId="5" fillId="9" borderId="1" xfId="0" applyNumberFormat="1" applyFont="1" applyFill="1" applyBorder="1" applyAlignment="1">
      <alignment horizontal="center" vertical="center" wrapText="1"/>
    </xf>
    <xf numFmtId="0" fontId="15" fillId="0" borderId="15" xfId="1" applyFont="1" applyBorder="1" applyAlignment="1">
      <alignment horizontal="center" vertical="center"/>
    </xf>
    <xf numFmtId="0" fontId="15" fillId="0" borderId="19" xfId="1" applyFont="1" applyBorder="1" applyAlignment="1">
      <alignment horizontal="center" vertical="center"/>
    </xf>
    <xf numFmtId="0" fontId="15" fillId="0" borderId="20" xfId="1" applyFont="1" applyBorder="1" applyAlignment="1">
      <alignment horizontal="center" vertical="center"/>
    </xf>
    <xf numFmtId="0" fontId="15" fillId="0" borderId="21" xfId="1" applyFont="1" applyBorder="1" applyAlignment="1">
      <alignment horizontal="center" vertical="center"/>
    </xf>
    <xf numFmtId="0" fontId="16" fillId="0" borderId="16" xfId="1" applyFont="1" applyBorder="1" applyAlignment="1">
      <alignment horizontal="center" vertical="center"/>
    </xf>
    <xf numFmtId="0" fontId="16" fillId="0" borderId="11" xfId="1" applyFont="1" applyBorder="1" applyAlignment="1">
      <alignment horizontal="center" vertical="center"/>
    </xf>
    <xf numFmtId="0" fontId="16" fillId="0" borderId="12" xfId="1" applyFont="1" applyBorder="1" applyAlignment="1">
      <alignment horizontal="center" vertical="center"/>
    </xf>
    <xf numFmtId="0" fontId="5" fillId="5"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5" fillId="0" borderId="16" xfId="1" applyFont="1" applyBorder="1" applyAlignment="1">
      <alignment horizontal="right" vertical="center"/>
    </xf>
    <xf numFmtId="0" fontId="15" fillId="0" borderId="11" xfId="1" applyFont="1" applyBorder="1" applyAlignment="1">
      <alignment horizontal="right" vertical="center"/>
    </xf>
    <xf numFmtId="0" fontId="15" fillId="0" borderId="12" xfId="1" applyFont="1" applyBorder="1" applyAlignment="1">
      <alignment horizontal="right" vertical="center"/>
    </xf>
    <xf numFmtId="0" fontId="16" fillId="0" borderId="15" xfId="1" applyFont="1" applyBorder="1" applyAlignment="1">
      <alignment horizontal="center"/>
    </xf>
    <xf numFmtId="0" fontId="16" fillId="0" borderId="1" xfId="1" applyFont="1" applyBorder="1" applyAlignment="1">
      <alignment horizontal="center"/>
    </xf>
    <xf numFmtId="0" fontId="16" fillId="0" borderId="15" xfId="1" applyFont="1" applyBorder="1" applyAlignment="1">
      <alignment horizontal="right" vertical="center"/>
    </xf>
    <xf numFmtId="0" fontId="16" fillId="0" borderId="1" xfId="1" applyFont="1" applyBorder="1" applyAlignment="1">
      <alignment horizontal="right" vertical="center"/>
    </xf>
    <xf numFmtId="2" fontId="5" fillId="9" borderId="15" xfId="0" applyNumberFormat="1" applyFont="1" applyFill="1" applyBorder="1" applyAlignment="1">
      <alignment horizontal="right" vertical="center" wrapText="1"/>
    </xf>
    <xf numFmtId="2" fontId="5" fillId="9" borderId="1" xfId="0" applyNumberFormat="1" applyFont="1" applyFill="1" applyBorder="1" applyAlignment="1">
      <alignment horizontal="right" vertical="center" wrapText="1"/>
    </xf>
    <xf numFmtId="0" fontId="15" fillId="0" borderId="15" xfId="1" applyFont="1" applyBorder="1" applyAlignment="1">
      <alignment horizontal="right" vertical="center"/>
    </xf>
    <xf numFmtId="0" fontId="15" fillId="0" borderId="1" xfId="1" applyFont="1" applyBorder="1" applyAlignment="1">
      <alignment horizontal="right" vertical="center"/>
    </xf>
    <xf numFmtId="2" fontId="14" fillId="11" borderId="14" xfId="0" applyNumberFormat="1" applyFont="1" applyFill="1" applyBorder="1" applyAlignment="1">
      <alignment horizontal="center" vertical="center" wrapText="1"/>
    </xf>
    <xf numFmtId="2" fontId="14" fillId="11" borderId="1" xfId="0" applyNumberFormat="1" applyFont="1" applyFill="1" applyBorder="1" applyAlignment="1">
      <alignment horizontal="center" vertical="center" wrapText="1"/>
    </xf>
    <xf numFmtId="0" fontId="16" fillId="0" borderId="15" xfId="1" applyFont="1" applyBorder="1" applyAlignment="1">
      <alignment horizontal="center" vertical="center"/>
    </xf>
    <xf numFmtId="2" fontId="14" fillId="11" borderId="18" xfId="0" applyNumberFormat="1" applyFont="1" applyFill="1" applyBorder="1" applyAlignment="1">
      <alignment horizontal="center" vertical="center" wrapText="1"/>
    </xf>
    <xf numFmtId="0" fontId="16" fillId="0" borderId="1" xfId="1" applyFont="1" applyBorder="1" applyAlignment="1">
      <alignment horizontal="center" vertical="center"/>
    </xf>
    <xf numFmtId="2" fontId="14" fillId="11" borderId="36" xfId="0" applyNumberFormat="1" applyFont="1" applyFill="1" applyBorder="1" applyAlignment="1">
      <alignment horizontal="center" vertical="center" wrapText="1"/>
    </xf>
    <xf numFmtId="2" fontId="14" fillId="11" borderId="37" xfId="0" applyNumberFormat="1" applyFont="1" applyFill="1" applyBorder="1" applyAlignment="1">
      <alignment horizontal="center" vertical="center" wrapText="1"/>
    </xf>
    <xf numFmtId="2" fontId="14" fillId="11" borderId="38" xfId="0" applyNumberFormat="1" applyFont="1" applyFill="1" applyBorder="1" applyAlignment="1">
      <alignment horizontal="center" vertical="center" wrapText="1"/>
    </xf>
    <xf numFmtId="0" fontId="16" fillId="0" borderId="19" xfId="1" applyFont="1" applyBorder="1" applyAlignment="1">
      <alignment horizontal="center" vertical="center"/>
    </xf>
    <xf numFmtId="0" fontId="16" fillId="0" borderId="20" xfId="1" applyFont="1" applyBorder="1" applyAlignment="1">
      <alignment horizontal="center" vertical="center"/>
    </xf>
    <xf numFmtId="0" fontId="16" fillId="0" borderId="21" xfId="1" applyFont="1" applyBorder="1" applyAlignment="1">
      <alignment horizontal="center" vertical="center"/>
    </xf>
    <xf numFmtId="2" fontId="13" fillId="11" borderId="36" xfId="0" applyNumberFormat="1" applyFont="1" applyFill="1" applyBorder="1" applyAlignment="1">
      <alignment horizontal="center" vertical="center" wrapText="1"/>
    </xf>
    <xf numFmtId="2" fontId="13" fillId="11" borderId="37" xfId="0" applyNumberFormat="1" applyFont="1" applyFill="1" applyBorder="1" applyAlignment="1">
      <alignment horizontal="center" vertical="center" wrapText="1"/>
    </xf>
    <xf numFmtId="2" fontId="13" fillId="11" borderId="38" xfId="0" applyNumberFormat="1" applyFont="1" applyFill="1" applyBorder="1" applyAlignment="1">
      <alignment horizontal="center" vertical="center" wrapText="1"/>
    </xf>
    <xf numFmtId="0" fontId="26" fillId="14" borderId="3" xfId="0" applyFont="1" applyFill="1" applyBorder="1" applyAlignment="1">
      <alignment horizontal="left" vertical="top" wrapText="1"/>
    </xf>
    <xf numFmtId="0" fontId="26" fillId="14" borderId="4" xfId="0" applyFont="1" applyFill="1" applyBorder="1" applyAlignment="1">
      <alignment horizontal="left" vertical="top" wrapText="1"/>
    </xf>
    <xf numFmtId="0" fontId="26" fillId="14" borderId="5" xfId="0" applyFont="1" applyFill="1" applyBorder="1" applyAlignment="1">
      <alignment horizontal="left" vertical="top" wrapText="1"/>
    </xf>
    <xf numFmtId="2" fontId="13" fillId="9" borderId="6" xfId="0" applyNumberFormat="1" applyFont="1" applyFill="1" applyBorder="1" applyAlignment="1">
      <alignment horizontal="center" vertical="center" wrapText="1"/>
    </xf>
    <xf numFmtId="2" fontId="13" fillId="9" borderId="7" xfId="0" applyNumberFormat="1" applyFont="1" applyFill="1" applyBorder="1" applyAlignment="1">
      <alignment horizontal="center" vertical="center" wrapText="1"/>
    </xf>
    <xf numFmtId="2" fontId="14" fillId="11" borderId="8" xfId="0" applyNumberFormat="1" applyFont="1" applyFill="1" applyBorder="1" applyAlignment="1">
      <alignment horizontal="center" vertical="center" wrapText="1"/>
    </xf>
    <xf numFmtId="2" fontId="14" fillId="9" borderId="6" xfId="0" applyNumberFormat="1" applyFont="1" applyFill="1" applyBorder="1" applyAlignment="1">
      <alignment horizontal="center" vertical="center" wrapText="1"/>
    </xf>
    <xf numFmtId="2" fontId="14" fillId="9" borderId="7" xfId="0" applyNumberFormat="1" applyFont="1" applyFill="1" applyBorder="1" applyAlignment="1">
      <alignment horizontal="center" vertical="center" wrapText="1"/>
    </xf>
    <xf numFmtId="2" fontId="14" fillId="9" borderId="1" xfId="0" applyNumberFormat="1" applyFont="1" applyFill="1" applyBorder="1" applyAlignment="1">
      <alignment horizontal="center" vertical="center" wrapText="1"/>
    </xf>
    <xf numFmtId="2" fontId="13" fillId="11" borderId="18" xfId="0" applyNumberFormat="1" applyFont="1" applyFill="1" applyBorder="1" applyAlignment="1">
      <alignment horizontal="center" vertical="center" wrapText="1"/>
    </xf>
    <xf numFmtId="0" fontId="5" fillId="7" borderId="23" xfId="0" applyFont="1" applyFill="1" applyBorder="1" applyAlignment="1">
      <alignment horizontal="left" vertical="top" wrapText="1"/>
    </xf>
    <xf numFmtId="0" fontId="5" fillId="7" borderId="24" xfId="0" applyFont="1" applyFill="1" applyBorder="1" applyAlignment="1">
      <alignment horizontal="left" vertical="top" wrapText="1"/>
    </xf>
    <xf numFmtId="0" fontId="5" fillId="7" borderId="25"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12" xfId="0" applyFont="1" applyFill="1" applyBorder="1" applyAlignment="1">
      <alignment horizontal="left" vertical="top" wrapText="1"/>
    </xf>
    <xf numFmtId="0" fontId="15" fillId="0" borderId="19"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1" xfId="1" applyFont="1" applyBorder="1" applyAlignment="1">
      <alignment horizontal="center" vertical="center" wrapText="1"/>
    </xf>
    <xf numFmtId="2" fontId="13" fillId="9" borderId="10" xfId="0" applyNumberFormat="1" applyFont="1" applyFill="1" applyBorder="1" applyAlignment="1">
      <alignment horizontal="center" vertical="center" wrapText="1"/>
    </xf>
    <xf numFmtId="2" fontId="13" fillId="9" borderId="12" xfId="0" applyNumberFormat="1" applyFont="1" applyFill="1" applyBorder="1" applyAlignment="1">
      <alignment horizontal="center" vertical="center" wrapText="1"/>
    </xf>
    <xf numFmtId="2" fontId="13" fillId="9" borderId="16" xfId="0" applyNumberFormat="1" applyFont="1" applyFill="1" applyBorder="1" applyAlignment="1">
      <alignment horizontal="right" vertical="center" wrapText="1"/>
    </xf>
    <xf numFmtId="2" fontId="13" fillId="9" borderId="11" xfId="0" applyNumberFormat="1" applyFont="1" applyFill="1" applyBorder="1" applyAlignment="1">
      <alignment horizontal="right" vertical="center" wrapText="1"/>
    </xf>
    <xf numFmtId="2" fontId="13" fillId="9" borderId="12" xfId="0" applyNumberFormat="1" applyFont="1" applyFill="1" applyBorder="1" applyAlignment="1">
      <alignment horizontal="right" vertical="center" wrapText="1"/>
    </xf>
    <xf numFmtId="0" fontId="15" fillId="0" borderId="1" xfId="1" applyFont="1" applyBorder="1" applyAlignment="1">
      <alignment horizontal="center" vertical="center"/>
    </xf>
    <xf numFmtId="2" fontId="13" fillId="9" borderId="9" xfId="0" applyNumberFormat="1" applyFont="1" applyFill="1" applyBorder="1" applyAlignment="1">
      <alignment horizontal="center" vertical="center" wrapText="1"/>
    </xf>
    <xf numFmtId="2" fontId="14" fillId="9" borderId="9" xfId="0" applyNumberFormat="1" applyFont="1" applyFill="1" applyBorder="1" applyAlignment="1">
      <alignment horizontal="center" vertical="center" wrapText="1"/>
    </xf>
    <xf numFmtId="2" fontId="13" fillId="0" borderId="36" xfId="0" applyNumberFormat="1" applyFont="1" applyBorder="1" applyAlignment="1">
      <alignment horizontal="center" vertical="center" wrapText="1"/>
    </xf>
    <xf numFmtId="2" fontId="13" fillId="0" borderId="38" xfId="0" applyNumberFormat="1" applyFont="1" applyBorder="1" applyAlignment="1">
      <alignment horizontal="center" vertical="center" wrapText="1"/>
    </xf>
    <xf numFmtId="2" fontId="13" fillId="9" borderId="19" xfId="0" applyNumberFormat="1" applyFont="1" applyFill="1" applyBorder="1" applyAlignment="1">
      <alignment horizontal="center" vertical="center" wrapText="1"/>
    </xf>
    <xf numFmtId="2" fontId="13" fillId="9" borderId="20" xfId="0" applyNumberFormat="1" applyFont="1" applyFill="1" applyBorder="1" applyAlignment="1">
      <alignment horizontal="center" vertical="center" wrapText="1"/>
    </xf>
    <xf numFmtId="2" fontId="13" fillId="9" borderId="21" xfId="0" applyNumberFormat="1" applyFont="1" applyFill="1" applyBorder="1" applyAlignment="1">
      <alignment horizontal="center" vertical="center" wrapText="1"/>
    </xf>
    <xf numFmtId="2" fontId="13" fillId="9" borderId="16" xfId="0" applyNumberFormat="1" applyFont="1" applyFill="1" applyBorder="1" applyAlignment="1">
      <alignment horizontal="center" vertical="center" wrapText="1"/>
    </xf>
    <xf numFmtId="2" fontId="13" fillId="9" borderId="11" xfId="0" applyNumberFormat="1" applyFont="1" applyFill="1" applyBorder="1" applyAlignment="1">
      <alignment horizontal="center" vertical="center" wrapText="1"/>
    </xf>
    <xf numFmtId="0" fontId="8" fillId="2" borderId="1" xfId="0" applyFont="1" applyFill="1" applyBorder="1" applyAlignment="1">
      <alignment horizontal="left" vertical="top" wrapText="1"/>
    </xf>
    <xf numFmtId="0" fontId="5" fillId="5" borderId="10" xfId="0" applyFont="1" applyFill="1" applyBorder="1" applyAlignment="1">
      <alignment horizontal="left" vertical="top" wrapText="1"/>
    </xf>
    <xf numFmtId="0" fontId="5" fillId="5" borderId="11" xfId="0" applyFont="1" applyFill="1" applyBorder="1" applyAlignment="1">
      <alignment horizontal="left" vertical="top" wrapText="1"/>
    </xf>
    <xf numFmtId="0" fontId="5" fillId="5" borderId="12" xfId="0" applyFont="1" applyFill="1" applyBorder="1" applyAlignment="1">
      <alignment horizontal="left" vertical="top" wrapText="1"/>
    </xf>
    <xf numFmtId="2" fontId="13" fillId="11" borderId="0" xfId="0" applyNumberFormat="1" applyFont="1" applyFill="1" applyAlignment="1">
      <alignment horizontal="center" vertical="center" wrapText="1"/>
    </xf>
    <xf numFmtId="2" fontId="13" fillId="11" borderId="14" xfId="0" applyNumberFormat="1" applyFont="1" applyFill="1" applyBorder="1" applyAlignment="1">
      <alignment horizontal="center" vertical="center" wrapText="1"/>
    </xf>
    <xf numFmtId="0" fontId="10" fillId="8" borderId="13" xfId="0" applyFont="1" applyFill="1" applyBorder="1" applyAlignment="1">
      <alignment horizontal="center" vertical="top" wrapText="1"/>
    </xf>
    <xf numFmtId="0" fontId="10" fillId="8" borderId="0" xfId="0" applyFont="1" applyFill="1" applyAlignment="1">
      <alignment horizontal="center" vertical="top" wrapText="1"/>
    </xf>
    <xf numFmtId="0" fontId="10" fillId="8" borderId="14" xfId="0" applyFont="1" applyFill="1" applyBorder="1" applyAlignment="1">
      <alignment horizontal="center" vertical="top" wrapText="1"/>
    </xf>
    <xf numFmtId="2" fontId="13" fillId="0" borderId="8" xfId="0" applyNumberFormat="1" applyFont="1" applyBorder="1" applyAlignment="1">
      <alignment horizontal="center" vertical="center" wrapText="1"/>
    </xf>
    <xf numFmtId="2" fontId="13" fillId="0" borderId="14" xfId="0" applyNumberFormat="1" applyFont="1" applyBorder="1" applyAlignment="1">
      <alignment horizontal="center" vertical="center" wrapText="1"/>
    </xf>
    <xf numFmtId="0" fontId="24" fillId="15" borderId="14" xfId="0" applyFont="1" applyFill="1" applyBorder="1" applyAlignment="1">
      <alignment horizontal="left" vertical="top" wrapText="1"/>
    </xf>
    <xf numFmtId="0" fontId="24" fillId="15" borderId="27" xfId="0" applyFont="1" applyFill="1" applyBorder="1" applyAlignment="1">
      <alignment horizontal="left" vertical="top" wrapText="1"/>
    </xf>
    <xf numFmtId="0" fontId="24" fillId="15" borderId="33" xfId="0" applyFont="1" applyFill="1" applyBorder="1" applyAlignment="1">
      <alignment horizontal="left" vertical="top" wrapText="1"/>
    </xf>
    <xf numFmtId="2" fontId="13" fillId="0" borderId="0" xfId="0" applyNumberFormat="1" applyFont="1" applyAlignment="1">
      <alignment horizontal="center" vertical="center" wrapText="1"/>
    </xf>
  </cellXfs>
  <cellStyles count="4">
    <cellStyle name="Normal" xfId="0" builtinId="0"/>
    <cellStyle name="Normal 2" xfId="1" xr:uid="{A8DB327A-AD26-4C7B-9DE2-C758F41FD3ED}"/>
    <cellStyle name="Normal 3" xfId="2" xr:uid="{D182F330-3AFD-4C21-A3BD-E409FB988DAC}"/>
    <cellStyle name="Porcentagem 2" xfId="3" xr:uid="{CE26998D-F3F2-4104-A544-99210568989B}"/>
  </cellStyles>
  <dxfs count="6">
    <dxf>
      <font>
        <b val="0"/>
        <i val="0"/>
        <color theme="0" tint="-0.14996795556505021"/>
        <name val="Calibri Light"/>
        <scheme val="none"/>
      </font>
      <fill>
        <patternFill>
          <fgColor indexed="64"/>
          <bgColor theme="0" tint="-0.14996795556505021"/>
        </patternFill>
      </fill>
      <border>
        <left/>
        <right/>
        <top style="thin">
          <color indexed="64"/>
        </top>
        <bottom style="thin">
          <color indexed="64"/>
        </bottom>
      </border>
    </dxf>
    <dxf>
      <font>
        <b val="0"/>
        <i val="0"/>
        <color theme="0" tint="-0.14996795556505021"/>
        <name val="Calibri Light"/>
        <scheme val="none"/>
      </font>
      <fill>
        <patternFill>
          <fgColor indexed="64"/>
          <bgColor theme="0" tint="-0.14996795556505021"/>
        </patternFill>
      </fill>
      <border>
        <left/>
        <right/>
        <top style="thin">
          <color indexed="64"/>
        </top>
        <bottom style="thin">
          <color indexed="64"/>
        </bottom>
      </border>
    </dxf>
    <dxf>
      <font>
        <b val="0"/>
        <i val="0"/>
        <color theme="0" tint="-0.14996795556505021"/>
        <name val="Calibri Light"/>
        <scheme val="none"/>
      </font>
      <fill>
        <patternFill>
          <fgColor indexed="64"/>
          <bgColor theme="0" tint="-0.14996795556505021"/>
        </patternFill>
      </fill>
      <border>
        <left/>
        <right/>
        <top style="thin">
          <color indexed="64"/>
        </top>
        <bottom style="thin">
          <color indexed="64"/>
        </bottom>
      </border>
    </dxf>
    <dxf>
      <font>
        <b val="0"/>
        <i val="0"/>
        <color theme="0" tint="-0.14996795556505021"/>
        <name val="Calibri Light"/>
        <scheme val="none"/>
      </font>
      <fill>
        <patternFill>
          <fgColor indexed="64"/>
          <bgColor theme="0" tint="-0.14996795556505021"/>
        </patternFill>
      </fill>
      <border>
        <left/>
        <right/>
        <top style="thin">
          <color indexed="64"/>
        </top>
        <bottom style="thin">
          <color indexed="64"/>
        </bottom>
      </border>
    </dxf>
    <dxf>
      <font>
        <b val="0"/>
        <i val="0"/>
        <color theme="0" tint="-0.14996795556505021"/>
        <name val="Calibri Light"/>
        <scheme val="none"/>
      </font>
      <fill>
        <patternFill>
          <fgColor indexed="64"/>
          <bgColor theme="0" tint="-0.14996795556505021"/>
        </patternFill>
      </fill>
      <border>
        <left/>
        <right/>
        <top style="thin">
          <color indexed="64"/>
        </top>
        <bottom style="thin">
          <color indexed="64"/>
        </bottom>
      </border>
    </dxf>
    <dxf>
      <font>
        <b val="0"/>
        <i val="0"/>
        <color theme="0" tint="-0.14996795556505021"/>
        <name val="Calibri Light"/>
        <scheme val="none"/>
      </font>
      <fill>
        <patternFill>
          <fgColor indexed="64"/>
          <bgColor theme="0" tint="-0.14996795556505021"/>
        </patternFill>
      </fill>
      <border>
        <left/>
        <right/>
        <top style="thin">
          <color indexed="64"/>
        </top>
        <bottom style="thin">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8" Type="http://schemas.openxmlformats.org/officeDocument/2006/relationships/hyperlink" Target="#Dados!A1"/><Relationship Id="rId3" Type="http://schemas.openxmlformats.org/officeDocument/2006/relationships/hyperlink" Target="#Mem&#243;ria!A1"/><Relationship Id="rId7" Type="http://schemas.openxmlformats.org/officeDocument/2006/relationships/hyperlink" Target="#CronoFF!A1"/><Relationship Id="rId2" Type="http://schemas.openxmlformats.org/officeDocument/2006/relationships/hyperlink" Target="#QCI!A1"/><Relationship Id="rId1" Type="http://schemas.openxmlformats.org/officeDocument/2006/relationships/image" Target="../media/image2.png"/><Relationship Id="rId6" Type="http://schemas.openxmlformats.org/officeDocument/2006/relationships/hyperlink" Target="#Cot!A1"/><Relationship Id="rId5" Type="http://schemas.openxmlformats.org/officeDocument/2006/relationships/hyperlink" Target="#Comp!A1"/><Relationship Id="rId10" Type="http://schemas.openxmlformats.org/officeDocument/2006/relationships/hyperlink" Target="#Tabelas!A1"/><Relationship Id="rId4" Type="http://schemas.openxmlformats.org/officeDocument/2006/relationships/hyperlink" Target="#Or&#231;amento!A1"/><Relationship Id="rId9" Type="http://schemas.openxmlformats.org/officeDocument/2006/relationships/hyperlink" Target="#BDI!A1"/></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165652</xdr:colOff>
      <xdr:row>0</xdr:row>
      <xdr:rowOff>10492</xdr:rowOff>
    </xdr:from>
    <xdr:ext cx="1242392" cy="942485"/>
    <xdr:pic>
      <xdr:nvPicPr>
        <xdr:cNvPr id="2" name="Imagem 1">
          <a:extLst>
            <a:ext uri="{FF2B5EF4-FFF2-40B4-BE49-F238E27FC236}">
              <a16:creationId xmlns:a16="http://schemas.microsoft.com/office/drawing/2014/main" id="{F2F56139-1D66-4BDA-982F-F772AA2151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5652" y="10492"/>
          <a:ext cx="1242392" cy="94248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6</xdr:col>
      <xdr:colOff>352425</xdr:colOff>
      <xdr:row>31</xdr:row>
      <xdr:rowOff>104775</xdr:rowOff>
    </xdr:from>
    <xdr:to>
      <xdr:col>8</xdr:col>
      <xdr:colOff>581025</xdr:colOff>
      <xdr:row>33</xdr:row>
      <xdr:rowOff>95250</xdr:rowOff>
    </xdr:to>
    <xdr:pic>
      <xdr:nvPicPr>
        <xdr:cNvPr id="2" name="Imagem 1">
          <a:extLst>
            <a:ext uri="{FF2B5EF4-FFF2-40B4-BE49-F238E27FC236}">
              <a16:creationId xmlns:a16="http://schemas.microsoft.com/office/drawing/2014/main" id="{BB55F693-4CC0-40C1-A4E3-3A6BC38C0724}"/>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10025" y="6010275"/>
          <a:ext cx="144780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295275</xdr:colOff>
      <xdr:row>31</xdr:row>
      <xdr:rowOff>104775</xdr:rowOff>
    </xdr:from>
    <xdr:to>
      <xdr:col>18</xdr:col>
      <xdr:colOff>523875</xdr:colOff>
      <xdr:row>33</xdr:row>
      <xdr:rowOff>95250</xdr:rowOff>
    </xdr:to>
    <xdr:pic>
      <xdr:nvPicPr>
        <xdr:cNvPr id="3" name="Imagem 3">
          <a:extLst>
            <a:ext uri="{FF2B5EF4-FFF2-40B4-BE49-F238E27FC236}">
              <a16:creationId xmlns:a16="http://schemas.microsoft.com/office/drawing/2014/main" id="{3B9EDD1E-8361-4B2B-BB08-875EE924AD5B}"/>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048875" y="6010275"/>
          <a:ext cx="144780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26</xdr:col>
      <xdr:colOff>295275</xdr:colOff>
      <xdr:row>31</xdr:row>
      <xdr:rowOff>104775</xdr:rowOff>
    </xdr:from>
    <xdr:to>
      <xdr:col>28</xdr:col>
      <xdr:colOff>523875</xdr:colOff>
      <xdr:row>33</xdr:row>
      <xdr:rowOff>95250</xdr:rowOff>
    </xdr:to>
    <xdr:pic>
      <xdr:nvPicPr>
        <xdr:cNvPr id="4" name="Imagem 3">
          <a:extLst>
            <a:ext uri="{FF2B5EF4-FFF2-40B4-BE49-F238E27FC236}">
              <a16:creationId xmlns:a16="http://schemas.microsoft.com/office/drawing/2014/main" id="{392FE875-5F47-4FBD-A94D-81BFF9EDD73D}"/>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6144875" y="6010275"/>
          <a:ext cx="144780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absoluteAnchor>
    <xdr:pos x="190500" y="190500"/>
    <xdr:ext cx="2047875" cy="3238500"/>
    <xdr:grpSp>
      <xdr:nvGrpSpPr>
        <xdr:cNvPr id="5" name="Agrupar 2">
          <a:extLst>
            <a:ext uri="{FF2B5EF4-FFF2-40B4-BE49-F238E27FC236}">
              <a16:creationId xmlns:a16="http://schemas.microsoft.com/office/drawing/2014/main" id="{C3246613-145F-423C-9D71-6ADFF846DE71}"/>
            </a:ext>
          </a:extLst>
        </xdr:cNvPr>
        <xdr:cNvGrpSpPr>
          <a:grpSpLocks/>
        </xdr:cNvGrpSpPr>
      </xdr:nvGrpSpPr>
      <xdr:grpSpPr bwMode="auto">
        <a:xfrm>
          <a:off x="190500" y="190500"/>
          <a:ext cx="2047875" cy="3238500"/>
          <a:chOff x="190500" y="190500"/>
          <a:chExt cx="2047875" cy="3238500"/>
        </a:xfrm>
      </xdr:grpSpPr>
      <xdr:sp macro="" textlink="">
        <xdr:nvSpPr>
          <xdr:cNvPr id="6" name="AutoShape 15">
            <a:hlinkClick xmlns:r="http://schemas.openxmlformats.org/officeDocument/2006/relationships" r:id="rId2"/>
            <a:extLst>
              <a:ext uri="{FF2B5EF4-FFF2-40B4-BE49-F238E27FC236}">
                <a16:creationId xmlns:a16="http://schemas.microsoft.com/office/drawing/2014/main" id="{DAC87C0F-A78D-4BDB-E03F-E924D565A86B}"/>
              </a:ext>
            </a:extLst>
          </xdr:cNvPr>
          <xdr:cNvSpPr>
            <a:spLocks noChangeArrowheads="1"/>
          </xdr:cNvSpPr>
        </xdr:nvSpPr>
        <xdr:spPr bwMode="auto">
          <a:xfrm>
            <a:off x="190500" y="3238500"/>
            <a:ext cx="2047875" cy="190500"/>
          </a:xfrm>
          <a:prstGeom prst="roundRect">
            <a:avLst>
              <a:gd name="adj" fmla="val 16667"/>
            </a:avLst>
          </a:prstGeom>
          <a:solidFill>
            <a:schemeClr val="accent1"/>
          </a:solidFill>
          <a:ln w="9525">
            <a:solidFill>
              <a:srgbClr val="808080"/>
            </a:solidFill>
            <a:round/>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Calibri"/>
              </a:rPr>
              <a:t>QCI</a:t>
            </a:r>
          </a:p>
        </xdr:txBody>
      </xdr:sp>
      <xdr:sp macro="" textlink="">
        <xdr:nvSpPr>
          <xdr:cNvPr id="7" name="AutoShape 12">
            <a:hlinkClick xmlns:r="http://schemas.openxmlformats.org/officeDocument/2006/relationships" r:id="rId3"/>
            <a:extLst>
              <a:ext uri="{FF2B5EF4-FFF2-40B4-BE49-F238E27FC236}">
                <a16:creationId xmlns:a16="http://schemas.microsoft.com/office/drawing/2014/main" id="{5CA90101-07D5-8803-8A91-DED47EB7F3A1}"/>
              </a:ext>
            </a:extLst>
          </xdr:cNvPr>
          <xdr:cNvSpPr>
            <a:spLocks noChangeArrowheads="1"/>
          </xdr:cNvSpPr>
        </xdr:nvSpPr>
        <xdr:spPr bwMode="auto">
          <a:xfrm>
            <a:off x="190500" y="1333500"/>
            <a:ext cx="2047875" cy="190500"/>
          </a:xfrm>
          <a:prstGeom prst="roundRect">
            <a:avLst>
              <a:gd name="adj" fmla="val 16667"/>
            </a:avLst>
          </a:prstGeom>
          <a:solidFill>
            <a:schemeClr val="accent1"/>
          </a:solidFill>
          <a:ln w="9525">
            <a:solidFill>
              <a:srgbClr val="808080"/>
            </a:solidFill>
            <a:round/>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Calibri"/>
              </a:rPr>
              <a:t>MEMÓRIA DE CÁLCULO</a:t>
            </a:r>
          </a:p>
        </xdr:txBody>
      </xdr:sp>
      <xdr:sp macro="" textlink="">
        <xdr:nvSpPr>
          <xdr:cNvPr id="8" name="AutoShape 29">
            <a:hlinkClick xmlns:r="http://schemas.openxmlformats.org/officeDocument/2006/relationships" r:id="rId4"/>
            <a:extLst>
              <a:ext uri="{FF2B5EF4-FFF2-40B4-BE49-F238E27FC236}">
                <a16:creationId xmlns:a16="http://schemas.microsoft.com/office/drawing/2014/main" id="{AA3CBF58-412C-6433-2F59-BC381D7E3B9C}"/>
              </a:ext>
            </a:extLst>
          </xdr:cNvPr>
          <xdr:cNvSpPr>
            <a:spLocks noChangeArrowheads="1"/>
          </xdr:cNvSpPr>
        </xdr:nvSpPr>
        <xdr:spPr bwMode="auto">
          <a:xfrm>
            <a:off x="190500" y="952500"/>
            <a:ext cx="2047875" cy="190500"/>
          </a:xfrm>
          <a:prstGeom prst="roundRect">
            <a:avLst>
              <a:gd name="adj" fmla="val 16667"/>
            </a:avLst>
          </a:prstGeom>
          <a:solidFill>
            <a:schemeClr val="accent1"/>
          </a:solidFill>
          <a:ln w="9525">
            <a:solidFill>
              <a:srgbClr val="808080"/>
            </a:solidFill>
            <a:round/>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Calibri"/>
              </a:rPr>
              <a:t>ORÇAMENTO - TOMADOR</a:t>
            </a:r>
          </a:p>
        </xdr:txBody>
      </xdr:sp>
      <xdr:sp macro="" textlink="">
        <xdr:nvSpPr>
          <xdr:cNvPr id="9" name="AutoShape 16">
            <a:hlinkClick xmlns:r="http://schemas.openxmlformats.org/officeDocument/2006/relationships" r:id="rId5"/>
            <a:extLst>
              <a:ext uri="{FF2B5EF4-FFF2-40B4-BE49-F238E27FC236}">
                <a16:creationId xmlns:a16="http://schemas.microsoft.com/office/drawing/2014/main" id="{E4752C67-82FB-E97C-D71C-F1DC2CD9656E}"/>
              </a:ext>
            </a:extLst>
          </xdr:cNvPr>
          <xdr:cNvSpPr>
            <a:spLocks noChangeArrowheads="1"/>
          </xdr:cNvSpPr>
        </xdr:nvSpPr>
        <xdr:spPr bwMode="auto">
          <a:xfrm>
            <a:off x="190500" y="2095500"/>
            <a:ext cx="2047875" cy="190500"/>
          </a:xfrm>
          <a:prstGeom prst="roundRect">
            <a:avLst>
              <a:gd name="adj" fmla="val 16667"/>
            </a:avLst>
          </a:prstGeom>
          <a:solidFill>
            <a:schemeClr val="accent1"/>
          </a:solidFill>
          <a:ln w="9525">
            <a:solidFill>
              <a:srgbClr val="808080"/>
            </a:solidFill>
            <a:round/>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Calibri"/>
              </a:rPr>
              <a:t>COMPOSIÇÕES</a:t>
            </a:r>
          </a:p>
        </xdr:txBody>
      </xdr:sp>
      <xdr:sp macro="" textlink="">
        <xdr:nvSpPr>
          <xdr:cNvPr id="10" name="AutoShape 17">
            <a:hlinkClick xmlns:r="http://schemas.openxmlformats.org/officeDocument/2006/relationships" r:id="rId6"/>
            <a:extLst>
              <a:ext uri="{FF2B5EF4-FFF2-40B4-BE49-F238E27FC236}">
                <a16:creationId xmlns:a16="http://schemas.microsoft.com/office/drawing/2014/main" id="{74BACE35-75F1-3A88-0A78-CEA083965A95}"/>
              </a:ext>
            </a:extLst>
          </xdr:cNvPr>
          <xdr:cNvSpPr>
            <a:spLocks noChangeArrowheads="1"/>
          </xdr:cNvSpPr>
        </xdr:nvSpPr>
        <xdr:spPr bwMode="auto">
          <a:xfrm>
            <a:off x="190500" y="2486025"/>
            <a:ext cx="2047875" cy="190500"/>
          </a:xfrm>
          <a:prstGeom prst="roundRect">
            <a:avLst>
              <a:gd name="adj" fmla="val 16667"/>
            </a:avLst>
          </a:prstGeom>
          <a:solidFill>
            <a:schemeClr val="accent1"/>
          </a:solidFill>
          <a:ln w="9525">
            <a:solidFill>
              <a:srgbClr val="808080"/>
            </a:solidFill>
            <a:round/>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Calibri"/>
              </a:rPr>
              <a:t>COTAÇÕES</a:t>
            </a:r>
          </a:p>
        </xdr:txBody>
      </xdr:sp>
      <xdr:sp macro="" textlink="">
        <xdr:nvSpPr>
          <xdr:cNvPr id="11" name="AutoShape 13">
            <a:hlinkClick xmlns:r="http://schemas.openxmlformats.org/officeDocument/2006/relationships" r:id="rId7"/>
            <a:extLst>
              <a:ext uri="{FF2B5EF4-FFF2-40B4-BE49-F238E27FC236}">
                <a16:creationId xmlns:a16="http://schemas.microsoft.com/office/drawing/2014/main" id="{191C25CD-D4EC-C669-2F82-E7E2DD57FE64}"/>
              </a:ext>
            </a:extLst>
          </xdr:cNvPr>
          <xdr:cNvSpPr>
            <a:spLocks noChangeArrowheads="1"/>
          </xdr:cNvSpPr>
        </xdr:nvSpPr>
        <xdr:spPr bwMode="auto">
          <a:xfrm>
            <a:off x="190500" y="2867025"/>
            <a:ext cx="2047875" cy="180975"/>
          </a:xfrm>
          <a:prstGeom prst="roundRect">
            <a:avLst>
              <a:gd name="adj" fmla="val 16667"/>
            </a:avLst>
          </a:prstGeom>
          <a:solidFill>
            <a:schemeClr val="accent1"/>
          </a:solidFill>
          <a:ln w="9525">
            <a:solidFill>
              <a:srgbClr val="808080"/>
            </a:solidFill>
            <a:round/>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Calibri"/>
              </a:rPr>
              <a:t>CRONOGRAMA FÍSICO-FINANCEIRO</a:t>
            </a:r>
          </a:p>
        </xdr:txBody>
      </xdr:sp>
      <xdr:sp macro="" textlink="">
        <xdr:nvSpPr>
          <xdr:cNvPr id="12" name="AutoShape 30">
            <a:hlinkClick xmlns:r="http://schemas.openxmlformats.org/officeDocument/2006/relationships" r:id="rId8"/>
            <a:extLst>
              <a:ext uri="{FF2B5EF4-FFF2-40B4-BE49-F238E27FC236}">
                <a16:creationId xmlns:a16="http://schemas.microsoft.com/office/drawing/2014/main" id="{6E8B8F0F-584D-C68F-0B9C-BDFCC7ED754B}"/>
              </a:ext>
            </a:extLst>
          </xdr:cNvPr>
          <xdr:cNvSpPr>
            <a:spLocks noChangeArrowheads="1"/>
          </xdr:cNvSpPr>
        </xdr:nvSpPr>
        <xdr:spPr bwMode="auto">
          <a:xfrm>
            <a:off x="190500" y="190500"/>
            <a:ext cx="2047875" cy="190500"/>
          </a:xfrm>
          <a:prstGeom prst="roundRect">
            <a:avLst>
              <a:gd name="adj" fmla="val 16667"/>
            </a:avLst>
          </a:prstGeom>
          <a:solidFill>
            <a:srgbClr val="F2F2F2"/>
          </a:solidFill>
          <a:ln w="9525">
            <a:solidFill>
              <a:srgbClr val="808080"/>
            </a:solidFill>
            <a:round/>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Calibri"/>
              </a:rPr>
              <a:t>DADOS DO CONTRATO</a:t>
            </a:r>
          </a:p>
        </xdr:txBody>
      </xdr:sp>
      <xdr:sp macro="" textlink="">
        <xdr:nvSpPr>
          <xdr:cNvPr id="13" name="AutoShape 14">
            <a:hlinkClick xmlns:r="http://schemas.openxmlformats.org/officeDocument/2006/relationships" r:id="rId9"/>
            <a:extLst>
              <a:ext uri="{FF2B5EF4-FFF2-40B4-BE49-F238E27FC236}">
                <a16:creationId xmlns:a16="http://schemas.microsoft.com/office/drawing/2014/main" id="{860DB000-FD9F-2016-DB46-CAC0E37D14A8}"/>
              </a:ext>
            </a:extLst>
          </xdr:cNvPr>
          <xdr:cNvSpPr>
            <a:spLocks noChangeArrowheads="1"/>
          </xdr:cNvSpPr>
        </xdr:nvSpPr>
        <xdr:spPr bwMode="auto">
          <a:xfrm>
            <a:off x="200025" y="571500"/>
            <a:ext cx="2038350" cy="190500"/>
          </a:xfrm>
          <a:prstGeom prst="roundRect">
            <a:avLst>
              <a:gd name="adj" fmla="val 16667"/>
            </a:avLst>
          </a:prstGeom>
          <a:solidFill>
            <a:srgbClr val="FFC000"/>
          </a:solidFill>
          <a:ln w="9525">
            <a:solidFill>
              <a:srgbClr val="808080"/>
            </a:solidFill>
            <a:round/>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Calibri"/>
              </a:rPr>
              <a:t>BDI</a:t>
            </a:r>
          </a:p>
        </xdr:txBody>
      </xdr:sp>
      <xdr:sp macro="" textlink="">
        <xdr:nvSpPr>
          <xdr:cNvPr id="14" name="AutoShape 17">
            <a:hlinkClick xmlns:r="http://schemas.openxmlformats.org/officeDocument/2006/relationships" r:id="rId10"/>
            <a:extLst>
              <a:ext uri="{FF2B5EF4-FFF2-40B4-BE49-F238E27FC236}">
                <a16:creationId xmlns:a16="http://schemas.microsoft.com/office/drawing/2014/main" id="{A62ED059-2C25-9976-EF66-5DE2EBFFD9A3}"/>
              </a:ext>
            </a:extLst>
          </xdr:cNvPr>
          <xdr:cNvSpPr>
            <a:spLocks noChangeArrowheads="1"/>
          </xdr:cNvSpPr>
        </xdr:nvSpPr>
        <xdr:spPr bwMode="auto">
          <a:xfrm>
            <a:off x="190500" y="1714500"/>
            <a:ext cx="2047875" cy="190500"/>
          </a:xfrm>
          <a:prstGeom prst="roundRect">
            <a:avLst>
              <a:gd name="adj" fmla="val 16667"/>
            </a:avLst>
          </a:prstGeom>
          <a:solidFill>
            <a:schemeClr val="accent1"/>
          </a:solidFill>
          <a:ln w="9525">
            <a:solidFill>
              <a:srgbClr val="808080"/>
            </a:solidFill>
            <a:round/>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Calibri"/>
              </a:rPr>
              <a:t>TABELAS MEMORIA</a:t>
            </a:r>
          </a:p>
        </xdr:txBody>
      </xdr:sp>
    </xdr:grpSp>
    <xdr:clientData/>
  </xdr:absoluteAnchor>
</xdr:wsDr>
</file>

<file path=xl/drawings/drawing3.xml><?xml version="1.0" encoding="utf-8"?>
<xdr:wsDr xmlns:xdr="http://schemas.openxmlformats.org/drawingml/2006/spreadsheetDrawing" xmlns:a="http://schemas.openxmlformats.org/drawingml/2006/main">
  <xdr:twoCellAnchor editAs="oneCell">
    <xdr:from>
      <xdr:col>0</xdr:col>
      <xdr:colOff>153109</xdr:colOff>
      <xdr:row>0</xdr:row>
      <xdr:rowOff>37825</xdr:rowOff>
    </xdr:from>
    <xdr:to>
      <xdr:col>1</xdr:col>
      <xdr:colOff>454099</xdr:colOff>
      <xdr:row>3</xdr:row>
      <xdr:rowOff>160072</xdr:rowOff>
    </xdr:to>
    <xdr:pic>
      <xdr:nvPicPr>
        <xdr:cNvPr id="2" name="Imagem 1">
          <a:extLst>
            <a:ext uri="{FF2B5EF4-FFF2-40B4-BE49-F238E27FC236}">
              <a16:creationId xmlns:a16="http://schemas.microsoft.com/office/drawing/2014/main" id="{1CAE6382-8DC2-42EC-ACE9-64AECB386D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109" y="37825"/>
          <a:ext cx="1065205" cy="664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29157</xdr:colOff>
      <xdr:row>0</xdr:row>
      <xdr:rowOff>14012</xdr:rowOff>
    </xdr:from>
    <xdr:to>
      <xdr:col>0</xdr:col>
      <xdr:colOff>1059412</xdr:colOff>
      <xdr:row>3</xdr:row>
      <xdr:rowOff>288708</xdr:rowOff>
    </xdr:to>
    <xdr:pic>
      <xdr:nvPicPr>
        <xdr:cNvPr id="2" name="Imagem 1">
          <a:extLst>
            <a:ext uri="{FF2B5EF4-FFF2-40B4-BE49-F238E27FC236}">
              <a16:creationId xmlns:a16="http://schemas.microsoft.com/office/drawing/2014/main" id="{ABF5CEF9-019A-728C-49BA-5E3E5FE8B69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57" y="14012"/>
          <a:ext cx="1030255" cy="8384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file:///C:\Users\User\Meu%20Drive\FREELANCER\OR&#199;AMENTO%20SESC%20CA%20-%20PALMAS\PROJETOS%20SILENIO\CA%20PALMAS%20SILENIO\CENTRO%20DE%20ATENDIMENTO%20SESC%20PALMAS_ENTREGA%2004%2012%202023\OR&#199;AMENTOS\OR&#199;AMENTO%20&#193;REA%20EXTERNA\BDI%20-%20&#193;REA%20EXTERNA%20-%20R$%20720.657,66.xls" TargetMode="External"/><Relationship Id="rId2" Type="http://schemas.microsoft.com/office/2019/04/relationships/externalLinkLongPath" Target="/Users/User/Meu%20Drive/FREELANCER/OR&#199;AMENTO%20SESC%20CA%20-%20PALMAS/PROJETOS%20SILENIO/CA%20PALMAS%20SILENIO/CENTRO%20DE%20ATENDIMENTO%20SESC%20PALMAS_ENTREGA%2004%2012%202023/OR&#199;AMENTOS/OR&#199;AMENTO%20&#193;REA%20EXTERNA/BDI%20-%20&#193;REA%20EXTERNA%20-%20R$%20720.657,66.xls?E013FD4D" TargetMode="External"/><Relationship Id="rId1" Type="http://schemas.openxmlformats.org/officeDocument/2006/relationships/externalLinkPath" Target="file:///\\E013FD4D\BDI%20-%20&#193;REA%20EXTERNA%20-%20R$%20720.657,6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Inicial"/>
      <sheetName val="Dados"/>
      <sheetName val="CC"/>
    </sheetNames>
    <sheetDataSet>
      <sheetData sheetId="0"/>
      <sheetData sheetId="1">
        <row r="6">
          <cell r="G6" t="str">
            <v>SESC - SERVIÇO SOCIAL DO COMERCIO</v>
          </cell>
        </row>
        <row r="7">
          <cell r="G7" t="str">
            <v>PALMAS - TO</v>
          </cell>
        </row>
        <row r="9">
          <cell r="G9" t="str">
            <v>REFORMAS E REPAROS NA ÁREA EXTERNA</v>
          </cell>
        </row>
        <row r="10">
          <cell r="G10" t="str">
            <v>PALMAS - TO</v>
          </cell>
        </row>
        <row r="14">
          <cell r="G14" t="str">
            <v>NÃO DESONERADO</v>
          </cell>
        </row>
        <row r="15">
          <cell r="G15">
            <v>45200</v>
          </cell>
        </row>
        <row r="18">
          <cell r="G18" t="str">
            <v>Silenio Martins Camargo</v>
          </cell>
        </row>
        <row r="19">
          <cell r="G19" t="str">
            <v xml:space="preserve">A22573-8 </v>
          </cell>
        </row>
        <row r="20">
          <cell r="G20">
            <v>45148</v>
          </cell>
        </row>
      </sheetData>
      <sheetData sheetId="2"/>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D0D49-A154-463D-BD7D-0159BA47DEED}">
  <dimension ref="A1:H65"/>
  <sheetViews>
    <sheetView showOutlineSymbols="0" showWhiteSpace="0" topLeftCell="A44" zoomScale="69" zoomScaleNormal="69" workbookViewId="0">
      <selection activeCell="C18" sqref="C18"/>
    </sheetView>
  </sheetViews>
  <sheetFormatPr defaultRowHeight="14.25" x14ac:dyDescent="0.2"/>
  <cols>
    <col min="1" max="1" width="20" bestFit="1" customWidth="1"/>
    <col min="2" max="2" width="60" bestFit="1" customWidth="1"/>
    <col min="3" max="3" width="20" style="282" bestFit="1" customWidth="1"/>
    <col min="4" max="27" width="12" bestFit="1" customWidth="1"/>
  </cols>
  <sheetData>
    <row r="1" spans="1:8" ht="15" customHeight="1" x14ac:dyDescent="0.2">
      <c r="A1" s="161"/>
      <c r="B1" s="162" t="s">
        <v>979</v>
      </c>
      <c r="C1" s="289" t="s">
        <v>978</v>
      </c>
      <c r="D1" s="162"/>
      <c r="E1" s="162" t="s">
        <v>977</v>
      </c>
      <c r="F1" s="294" t="s">
        <v>976</v>
      </c>
      <c r="G1" s="294"/>
      <c r="H1" s="295"/>
    </row>
    <row r="2" spans="1:8" ht="61.5" customHeight="1" x14ac:dyDescent="0.2">
      <c r="A2" s="163"/>
      <c r="B2" s="164" t="s">
        <v>975</v>
      </c>
      <c r="C2" s="288" t="s">
        <v>1433</v>
      </c>
      <c r="D2" s="164"/>
      <c r="E2" s="164" t="s">
        <v>1432</v>
      </c>
      <c r="F2" s="296" t="s">
        <v>973</v>
      </c>
      <c r="G2" s="296"/>
      <c r="H2" s="297"/>
    </row>
    <row r="3" spans="1:8" ht="15" x14ac:dyDescent="0.25">
      <c r="A3" s="292" t="s">
        <v>1499</v>
      </c>
      <c r="B3" s="293"/>
      <c r="C3" s="293"/>
      <c r="D3" s="293"/>
      <c r="E3" s="293"/>
      <c r="F3" s="293"/>
      <c r="G3" s="293"/>
      <c r="H3" s="165"/>
    </row>
    <row r="4" spans="1:8" ht="15" x14ac:dyDescent="0.2">
      <c r="A4" s="167" t="s">
        <v>0</v>
      </c>
      <c r="B4" s="160" t="s">
        <v>1</v>
      </c>
      <c r="C4" s="159" t="s">
        <v>1498</v>
      </c>
      <c r="D4" s="158" t="s">
        <v>1497</v>
      </c>
      <c r="E4" s="158" t="s">
        <v>1496</v>
      </c>
      <c r="F4" s="158" t="s">
        <v>1495</v>
      </c>
      <c r="G4" s="158" t="s">
        <v>1494</v>
      </c>
      <c r="H4" s="168" t="s">
        <v>1493</v>
      </c>
    </row>
    <row r="5" spans="1:8" ht="27" customHeight="1" thickBot="1" x14ac:dyDescent="0.25">
      <c r="A5" s="166" t="s">
        <v>4</v>
      </c>
      <c r="B5" s="133" t="s">
        <v>5</v>
      </c>
      <c r="C5" s="134" t="s">
        <v>1492</v>
      </c>
      <c r="D5" s="177" t="s">
        <v>1491</v>
      </c>
      <c r="E5" s="177" t="s">
        <v>1491</v>
      </c>
      <c r="F5" s="177" t="s">
        <v>1491</v>
      </c>
      <c r="G5" s="177" t="s">
        <v>1491</v>
      </c>
      <c r="H5" s="287" t="s">
        <v>1491</v>
      </c>
    </row>
    <row r="6" spans="1:8" ht="27" customHeight="1" thickTop="1" thickBot="1" x14ac:dyDescent="0.25">
      <c r="A6" s="166" t="s">
        <v>6</v>
      </c>
      <c r="B6" s="133" t="s">
        <v>7</v>
      </c>
      <c r="C6" s="134" t="s">
        <v>1490</v>
      </c>
      <c r="D6" s="177" t="s">
        <v>1490</v>
      </c>
      <c r="E6" s="135" t="s">
        <v>1072</v>
      </c>
      <c r="F6" s="135" t="s">
        <v>1072</v>
      </c>
      <c r="G6" s="135" t="s">
        <v>1072</v>
      </c>
      <c r="H6" s="286" t="s">
        <v>1072</v>
      </c>
    </row>
    <row r="7" spans="1:8" ht="27" customHeight="1" thickTop="1" thickBot="1" x14ac:dyDescent="0.25">
      <c r="A7" s="166" t="s">
        <v>22</v>
      </c>
      <c r="B7" s="133" t="s">
        <v>23</v>
      </c>
      <c r="C7" s="134" t="s">
        <v>1566</v>
      </c>
      <c r="D7" s="176" t="s">
        <v>1567</v>
      </c>
      <c r="E7" s="176" t="s">
        <v>1568</v>
      </c>
      <c r="F7" s="135" t="s">
        <v>1072</v>
      </c>
      <c r="G7" s="135" t="s">
        <v>1072</v>
      </c>
      <c r="H7" s="286" t="s">
        <v>1072</v>
      </c>
    </row>
    <row r="8" spans="1:8" ht="27" customHeight="1" thickTop="1" thickBot="1" x14ac:dyDescent="0.25">
      <c r="A8" s="166" t="s">
        <v>24</v>
      </c>
      <c r="B8" s="133" t="s">
        <v>25</v>
      </c>
      <c r="C8" s="134" t="s">
        <v>1569</v>
      </c>
      <c r="D8" s="177" t="s">
        <v>1569</v>
      </c>
      <c r="E8" s="135" t="s">
        <v>1072</v>
      </c>
      <c r="F8" s="135" t="s">
        <v>1072</v>
      </c>
      <c r="G8" s="135" t="s">
        <v>1072</v>
      </c>
      <c r="H8" s="286" t="s">
        <v>1072</v>
      </c>
    </row>
    <row r="9" spans="1:8" ht="27" customHeight="1" thickTop="1" thickBot="1" x14ac:dyDescent="0.25">
      <c r="A9" s="166" t="s">
        <v>39</v>
      </c>
      <c r="B9" s="133" t="s">
        <v>40</v>
      </c>
      <c r="C9" s="134" t="s">
        <v>1489</v>
      </c>
      <c r="D9" s="177" t="s">
        <v>1489</v>
      </c>
      <c r="E9" s="135" t="s">
        <v>1072</v>
      </c>
      <c r="F9" s="135" t="s">
        <v>1072</v>
      </c>
      <c r="G9" s="135" t="s">
        <v>1072</v>
      </c>
      <c r="H9" s="286" t="s">
        <v>1072</v>
      </c>
    </row>
    <row r="10" spans="1:8" ht="27" customHeight="1" thickTop="1" thickBot="1" x14ac:dyDescent="0.25">
      <c r="A10" s="166" t="s">
        <v>42</v>
      </c>
      <c r="B10" s="133" t="s">
        <v>43</v>
      </c>
      <c r="C10" s="134" t="s">
        <v>1488</v>
      </c>
      <c r="D10" s="177" t="s">
        <v>1488</v>
      </c>
      <c r="E10" s="135" t="s">
        <v>1072</v>
      </c>
      <c r="F10" s="135" t="s">
        <v>1072</v>
      </c>
      <c r="G10" s="135" t="s">
        <v>1072</v>
      </c>
      <c r="H10" s="286" t="s">
        <v>1072</v>
      </c>
    </row>
    <row r="11" spans="1:8" ht="27" customHeight="1" thickTop="1" thickBot="1" x14ac:dyDescent="0.25">
      <c r="A11" s="166" t="s">
        <v>70</v>
      </c>
      <c r="B11" s="133" t="s">
        <v>71</v>
      </c>
      <c r="C11" s="134" t="s">
        <v>1487</v>
      </c>
      <c r="D11" s="135" t="s">
        <v>1072</v>
      </c>
      <c r="E11" s="177" t="s">
        <v>1487</v>
      </c>
      <c r="F11" s="135" t="s">
        <v>1072</v>
      </c>
      <c r="G11" s="135" t="s">
        <v>1072</v>
      </c>
      <c r="H11" s="286" t="s">
        <v>1072</v>
      </c>
    </row>
    <row r="12" spans="1:8" ht="27" customHeight="1" thickTop="1" thickBot="1" x14ac:dyDescent="0.25">
      <c r="A12" s="166" t="s">
        <v>78</v>
      </c>
      <c r="B12" s="133" t="s">
        <v>79</v>
      </c>
      <c r="C12" s="134" t="s">
        <v>1486</v>
      </c>
      <c r="D12" s="135" t="s">
        <v>1072</v>
      </c>
      <c r="E12" s="177" t="s">
        <v>1486</v>
      </c>
      <c r="F12" s="135" t="s">
        <v>1072</v>
      </c>
      <c r="G12" s="135" t="s">
        <v>1072</v>
      </c>
      <c r="H12" s="286" t="s">
        <v>1072</v>
      </c>
    </row>
    <row r="13" spans="1:8" ht="27" customHeight="1" thickTop="1" thickBot="1" x14ac:dyDescent="0.25">
      <c r="A13" s="166" t="s">
        <v>1132</v>
      </c>
      <c r="B13" s="133" t="s">
        <v>95</v>
      </c>
      <c r="C13" s="134" t="s">
        <v>1485</v>
      </c>
      <c r="D13" s="135" t="s">
        <v>1072</v>
      </c>
      <c r="E13" s="177" t="s">
        <v>1485</v>
      </c>
      <c r="F13" s="135" t="s">
        <v>1072</v>
      </c>
      <c r="G13" s="135" t="s">
        <v>1072</v>
      </c>
      <c r="H13" s="286" t="s">
        <v>1072</v>
      </c>
    </row>
    <row r="14" spans="1:8" ht="27" customHeight="1" thickTop="1" thickBot="1" x14ac:dyDescent="0.25">
      <c r="A14" s="166" t="s">
        <v>1141</v>
      </c>
      <c r="B14" s="133" t="s">
        <v>100</v>
      </c>
      <c r="C14" s="134" t="s">
        <v>1484</v>
      </c>
      <c r="D14" s="135" t="s">
        <v>1072</v>
      </c>
      <c r="E14" s="177" t="s">
        <v>1484</v>
      </c>
      <c r="F14" s="135" t="s">
        <v>1072</v>
      </c>
      <c r="G14" s="135" t="s">
        <v>1072</v>
      </c>
      <c r="H14" s="286" t="s">
        <v>1072</v>
      </c>
    </row>
    <row r="15" spans="1:8" ht="27" customHeight="1" thickTop="1" thickBot="1" x14ac:dyDescent="0.25">
      <c r="A15" s="166" t="s">
        <v>1154</v>
      </c>
      <c r="B15" s="133" t="s">
        <v>1155</v>
      </c>
      <c r="C15" s="134" t="s">
        <v>1570</v>
      </c>
      <c r="D15" s="177" t="s">
        <v>1570</v>
      </c>
      <c r="E15" s="135" t="s">
        <v>1072</v>
      </c>
      <c r="F15" s="135" t="s">
        <v>1072</v>
      </c>
      <c r="G15" s="135" t="s">
        <v>1072</v>
      </c>
      <c r="H15" s="286" t="s">
        <v>1072</v>
      </c>
    </row>
    <row r="16" spans="1:8" ht="27" customHeight="1" thickTop="1" thickBot="1" x14ac:dyDescent="0.25">
      <c r="A16" s="166" t="s">
        <v>947</v>
      </c>
      <c r="B16" s="133" t="s">
        <v>505</v>
      </c>
      <c r="C16" s="134" t="s">
        <v>1483</v>
      </c>
      <c r="D16" s="177" t="s">
        <v>1483</v>
      </c>
      <c r="E16" s="135" t="s">
        <v>1072</v>
      </c>
      <c r="F16" s="135" t="s">
        <v>1072</v>
      </c>
      <c r="G16" s="135" t="s">
        <v>1072</v>
      </c>
      <c r="H16" s="286" t="s">
        <v>1072</v>
      </c>
    </row>
    <row r="17" spans="1:8" ht="27" customHeight="1" thickTop="1" thickBot="1" x14ac:dyDescent="0.25">
      <c r="A17" s="166" t="s">
        <v>1180</v>
      </c>
      <c r="B17" s="133" t="s">
        <v>1002</v>
      </c>
      <c r="C17" s="134" t="s">
        <v>1482</v>
      </c>
      <c r="D17" s="135" t="s">
        <v>1072</v>
      </c>
      <c r="E17" s="177" t="s">
        <v>1482</v>
      </c>
      <c r="F17" s="135" t="s">
        <v>1072</v>
      </c>
      <c r="G17" s="135" t="s">
        <v>1072</v>
      </c>
      <c r="H17" s="286" t="s">
        <v>1072</v>
      </c>
    </row>
    <row r="18" spans="1:8" ht="27" customHeight="1" thickTop="1" thickBot="1" x14ac:dyDescent="0.25">
      <c r="A18" s="166" t="s">
        <v>107</v>
      </c>
      <c r="B18" s="133" t="s">
        <v>109</v>
      </c>
      <c r="C18" s="134" t="s">
        <v>1571</v>
      </c>
      <c r="D18" s="176" t="s">
        <v>1572</v>
      </c>
      <c r="E18" s="176" t="s">
        <v>1573</v>
      </c>
      <c r="F18" s="135" t="s">
        <v>1072</v>
      </c>
      <c r="G18" s="135" t="s">
        <v>1072</v>
      </c>
      <c r="H18" s="286" t="s">
        <v>1072</v>
      </c>
    </row>
    <row r="19" spans="1:8" ht="27" customHeight="1" thickTop="1" thickBot="1" x14ac:dyDescent="0.25">
      <c r="A19" s="166" t="s">
        <v>241</v>
      </c>
      <c r="B19" s="133" t="s">
        <v>25</v>
      </c>
      <c r="C19" s="134" t="s">
        <v>1481</v>
      </c>
      <c r="D19" s="177" t="s">
        <v>1481</v>
      </c>
      <c r="E19" s="135" t="s">
        <v>1072</v>
      </c>
      <c r="F19" s="135" t="s">
        <v>1072</v>
      </c>
      <c r="G19" s="135" t="s">
        <v>1072</v>
      </c>
      <c r="H19" s="286" t="s">
        <v>1072</v>
      </c>
    </row>
    <row r="20" spans="1:8" ht="27" customHeight="1" thickTop="1" thickBot="1" x14ac:dyDescent="0.25">
      <c r="A20" s="166" t="s">
        <v>253</v>
      </c>
      <c r="B20" s="133" t="s">
        <v>124</v>
      </c>
      <c r="C20" s="134" t="s">
        <v>1480</v>
      </c>
      <c r="D20" s="177" t="s">
        <v>1480</v>
      </c>
      <c r="E20" s="135" t="s">
        <v>1072</v>
      </c>
      <c r="F20" s="135" t="s">
        <v>1072</v>
      </c>
      <c r="G20" s="135" t="s">
        <v>1072</v>
      </c>
      <c r="H20" s="286" t="s">
        <v>1072</v>
      </c>
    </row>
    <row r="21" spans="1:8" ht="27" customHeight="1" thickTop="1" thickBot="1" x14ac:dyDescent="0.25">
      <c r="A21" s="166" t="s">
        <v>254</v>
      </c>
      <c r="B21" s="133" t="s">
        <v>126</v>
      </c>
      <c r="C21" s="134" t="s">
        <v>1479</v>
      </c>
      <c r="D21" s="177" t="s">
        <v>1479</v>
      </c>
      <c r="E21" s="135" t="s">
        <v>1072</v>
      </c>
      <c r="F21" s="135" t="s">
        <v>1072</v>
      </c>
      <c r="G21" s="135" t="s">
        <v>1072</v>
      </c>
      <c r="H21" s="286" t="s">
        <v>1072</v>
      </c>
    </row>
    <row r="22" spans="1:8" ht="27" customHeight="1" thickTop="1" thickBot="1" x14ac:dyDescent="0.25">
      <c r="A22" s="166" t="s">
        <v>258</v>
      </c>
      <c r="B22" s="133" t="s">
        <v>40</v>
      </c>
      <c r="C22" s="134" t="s">
        <v>1478</v>
      </c>
      <c r="D22" s="177" t="s">
        <v>1478</v>
      </c>
      <c r="E22" s="135" t="s">
        <v>1072</v>
      </c>
      <c r="F22" s="135" t="s">
        <v>1072</v>
      </c>
      <c r="G22" s="135" t="s">
        <v>1072</v>
      </c>
      <c r="H22" s="286" t="s">
        <v>1072</v>
      </c>
    </row>
    <row r="23" spans="1:8" ht="27" customHeight="1" thickTop="1" thickBot="1" x14ac:dyDescent="0.25">
      <c r="A23" s="166" t="s">
        <v>260</v>
      </c>
      <c r="B23" s="133" t="s">
        <v>135</v>
      </c>
      <c r="C23" s="134" t="s">
        <v>1574</v>
      </c>
      <c r="D23" s="177" t="s">
        <v>1574</v>
      </c>
      <c r="E23" s="135" t="s">
        <v>1072</v>
      </c>
      <c r="F23" s="135" t="s">
        <v>1072</v>
      </c>
      <c r="G23" s="135" t="s">
        <v>1072</v>
      </c>
      <c r="H23" s="286" t="s">
        <v>1072</v>
      </c>
    </row>
    <row r="24" spans="1:8" ht="27" customHeight="1" thickTop="1" thickBot="1" x14ac:dyDescent="0.25">
      <c r="A24" s="166" t="s">
        <v>262</v>
      </c>
      <c r="B24" s="133" t="s">
        <v>146</v>
      </c>
      <c r="C24" s="134" t="s">
        <v>1575</v>
      </c>
      <c r="D24" s="135" t="s">
        <v>1072</v>
      </c>
      <c r="E24" s="176" t="s">
        <v>1575</v>
      </c>
      <c r="F24" s="135" t="s">
        <v>1072</v>
      </c>
      <c r="G24" s="135" t="s">
        <v>1072</v>
      </c>
      <c r="H24" s="286" t="s">
        <v>1072</v>
      </c>
    </row>
    <row r="25" spans="1:8" ht="27" customHeight="1" thickTop="1" thickBot="1" x14ac:dyDescent="0.25">
      <c r="A25" s="166" t="s">
        <v>263</v>
      </c>
      <c r="B25" s="133" t="s">
        <v>148</v>
      </c>
      <c r="C25" s="134" t="s">
        <v>1477</v>
      </c>
      <c r="D25" s="135" t="s">
        <v>1072</v>
      </c>
      <c r="E25" s="177" t="s">
        <v>1477</v>
      </c>
      <c r="F25" s="135" t="s">
        <v>1072</v>
      </c>
      <c r="G25" s="135" t="s">
        <v>1072</v>
      </c>
      <c r="H25" s="286" t="s">
        <v>1072</v>
      </c>
    </row>
    <row r="26" spans="1:8" ht="27" customHeight="1" thickTop="1" thickBot="1" x14ac:dyDescent="0.25">
      <c r="A26" s="166" t="s">
        <v>266</v>
      </c>
      <c r="B26" s="133" t="s">
        <v>152</v>
      </c>
      <c r="C26" s="134" t="s">
        <v>1576</v>
      </c>
      <c r="D26" s="135" t="s">
        <v>1072</v>
      </c>
      <c r="E26" s="177" t="s">
        <v>1576</v>
      </c>
      <c r="F26" s="135" t="s">
        <v>1072</v>
      </c>
      <c r="G26" s="135" t="s">
        <v>1072</v>
      </c>
      <c r="H26" s="286" t="s">
        <v>1072</v>
      </c>
    </row>
    <row r="27" spans="1:8" ht="27" customHeight="1" thickTop="1" thickBot="1" x14ac:dyDescent="0.25">
      <c r="A27" s="166" t="s">
        <v>269</v>
      </c>
      <c r="B27" s="133" t="s">
        <v>71</v>
      </c>
      <c r="C27" s="134" t="s">
        <v>1476</v>
      </c>
      <c r="D27" s="135" t="s">
        <v>1072</v>
      </c>
      <c r="E27" s="177" t="s">
        <v>1476</v>
      </c>
      <c r="F27" s="135" t="s">
        <v>1072</v>
      </c>
      <c r="G27" s="135" t="s">
        <v>1072</v>
      </c>
      <c r="H27" s="286" t="s">
        <v>1072</v>
      </c>
    </row>
    <row r="28" spans="1:8" ht="27" customHeight="1" thickTop="1" thickBot="1" x14ac:dyDescent="0.25">
      <c r="A28" s="166" t="s">
        <v>1231</v>
      </c>
      <c r="B28" s="133" t="s">
        <v>95</v>
      </c>
      <c r="C28" s="134" t="s">
        <v>1475</v>
      </c>
      <c r="D28" s="135" t="s">
        <v>1072</v>
      </c>
      <c r="E28" s="177" t="s">
        <v>1475</v>
      </c>
      <c r="F28" s="135" t="s">
        <v>1072</v>
      </c>
      <c r="G28" s="135" t="s">
        <v>1072</v>
      </c>
      <c r="H28" s="286" t="s">
        <v>1072</v>
      </c>
    </row>
    <row r="29" spans="1:8" ht="27" customHeight="1" thickTop="1" thickBot="1" x14ac:dyDescent="0.25">
      <c r="A29" s="166" t="s">
        <v>1237</v>
      </c>
      <c r="B29" s="133" t="s">
        <v>459</v>
      </c>
      <c r="C29" s="134" t="s">
        <v>1474</v>
      </c>
      <c r="D29" s="177" t="s">
        <v>1474</v>
      </c>
      <c r="E29" s="135" t="s">
        <v>1072</v>
      </c>
      <c r="F29" s="135" t="s">
        <v>1072</v>
      </c>
      <c r="G29" s="135" t="s">
        <v>1072</v>
      </c>
      <c r="H29" s="286" t="s">
        <v>1072</v>
      </c>
    </row>
    <row r="30" spans="1:8" ht="27" customHeight="1" thickTop="1" thickBot="1" x14ac:dyDescent="0.25">
      <c r="A30" s="166" t="s">
        <v>1256</v>
      </c>
      <c r="B30" s="133" t="s">
        <v>465</v>
      </c>
      <c r="C30" s="134" t="s">
        <v>1473</v>
      </c>
      <c r="D30" s="177" t="s">
        <v>1473</v>
      </c>
      <c r="E30" s="135" t="s">
        <v>1072</v>
      </c>
      <c r="F30" s="135" t="s">
        <v>1072</v>
      </c>
      <c r="G30" s="135" t="s">
        <v>1072</v>
      </c>
      <c r="H30" s="286" t="s">
        <v>1072</v>
      </c>
    </row>
    <row r="31" spans="1:8" ht="27" customHeight="1" thickTop="1" thickBot="1" x14ac:dyDescent="0.25">
      <c r="A31" s="166" t="s">
        <v>108</v>
      </c>
      <c r="B31" s="133" t="s">
        <v>163</v>
      </c>
      <c r="C31" s="134" t="s">
        <v>1577</v>
      </c>
      <c r="D31" s="176" t="s">
        <v>1578</v>
      </c>
      <c r="E31" s="176" t="s">
        <v>1579</v>
      </c>
      <c r="F31" s="135" t="s">
        <v>1072</v>
      </c>
      <c r="G31" s="135" t="s">
        <v>1072</v>
      </c>
      <c r="H31" s="286" t="s">
        <v>1072</v>
      </c>
    </row>
    <row r="32" spans="1:8" ht="27" customHeight="1" thickTop="1" thickBot="1" x14ac:dyDescent="0.25">
      <c r="A32" s="166" t="s">
        <v>110</v>
      </c>
      <c r="B32" s="133" t="s">
        <v>124</v>
      </c>
      <c r="C32" s="134" t="s">
        <v>1472</v>
      </c>
      <c r="D32" s="177" t="s">
        <v>1472</v>
      </c>
      <c r="E32" s="135" t="s">
        <v>1072</v>
      </c>
      <c r="F32" s="135" t="s">
        <v>1072</v>
      </c>
      <c r="G32" s="135" t="s">
        <v>1072</v>
      </c>
      <c r="H32" s="286" t="s">
        <v>1072</v>
      </c>
    </row>
    <row r="33" spans="1:8" ht="27" customHeight="1" thickTop="1" thickBot="1" x14ac:dyDescent="0.25">
      <c r="A33" s="166" t="s">
        <v>123</v>
      </c>
      <c r="B33" s="133" t="s">
        <v>126</v>
      </c>
      <c r="C33" s="134" t="s">
        <v>1471</v>
      </c>
      <c r="D33" s="177" t="s">
        <v>1471</v>
      </c>
      <c r="E33" s="135" t="s">
        <v>1072</v>
      </c>
      <c r="F33" s="135" t="s">
        <v>1072</v>
      </c>
      <c r="G33" s="135" t="s">
        <v>1072</v>
      </c>
      <c r="H33" s="286" t="s">
        <v>1072</v>
      </c>
    </row>
    <row r="34" spans="1:8" ht="27" customHeight="1" thickTop="1" thickBot="1" x14ac:dyDescent="0.25">
      <c r="A34" s="166" t="s">
        <v>125</v>
      </c>
      <c r="B34" s="133" t="s">
        <v>40</v>
      </c>
      <c r="C34" s="134" t="s">
        <v>1470</v>
      </c>
      <c r="D34" s="177" t="s">
        <v>1470</v>
      </c>
      <c r="E34" s="135" t="s">
        <v>1072</v>
      </c>
      <c r="F34" s="135" t="s">
        <v>1072</v>
      </c>
      <c r="G34" s="135" t="s">
        <v>1072</v>
      </c>
      <c r="H34" s="286" t="s">
        <v>1072</v>
      </c>
    </row>
    <row r="35" spans="1:8" ht="27" customHeight="1" thickTop="1" thickBot="1" x14ac:dyDescent="0.25">
      <c r="A35" s="166" t="s">
        <v>131</v>
      </c>
      <c r="B35" s="133" t="s">
        <v>135</v>
      </c>
      <c r="C35" s="134" t="s">
        <v>1580</v>
      </c>
      <c r="D35" s="177" t="s">
        <v>1580</v>
      </c>
      <c r="E35" s="135" t="s">
        <v>1072</v>
      </c>
      <c r="F35" s="135" t="s">
        <v>1072</v>
      </c>
      <c r="G35" s="135" t="s">
        <v>1072</v>
      </c>
      <c r="H35" s="286" t="s">
        <v>1072</v>
      </c>
    </row>
    <row r="36" spans="1:8" ht="27" customHeight="1" thickTop="1" thickBot="1" x14ac:dyDescent="0.25">
      <c r="A36" s="166" t="s">
        <v>134</v>
      </c>
      <c r="B36" s="133" t="s">
        <v>146</v>
      </c>
      <c r="C36" s="134" t="s">
        <v>1469</v>
      </c>
      <c r="D36" s="135" t="s">
        <v>1072</v>
      </c>
      <c r="E36" s="177" t="s">
        <v>1469</v>
      </c>
      <c r="F36" s="135" t="s">
        <v>1072</v>
      </c>
      <c r="G36" s="135" t="s">
        <v>1072</v>
      </c>
      <c r="H36" s="286" t="s">
        <v>1072</v>
      </c>
    </row>
    <row r="37" spans="1:8" ht="27" customHeight="1" thickTop="1" thickBot="1" x14ac:dyDescent="0.25">
      <c r="A37" s="166" t="s">
        <v>145</v>
      </c>
      <c r="B37" s="133" t="s">
        <v>71</v>
      </c>
      <c r="C37" s="134" t="s">
        <v>1468</v>
      </c>
      <c r="D37" s="135" t="s">
        <v>1072</v>
      </c>
      <c r="E37" s="177" t="s">
        <v>1468</v>
      </c>
      <c r="F37" s="135" t="s">
        <v>1072</v>
      </c>
      <c r="G37" s="135" t="s">
        <v>1072</v>
      </c>
      <c r="H37" s="286" t="s">
        <v>1072</v>
      </c>
    </row>
    <row r="38" spans="1:8" ht="27" customHeight="1" thickTop="1" thickBot="1" x14ac:dyDescent="0.25">
      <c r="A38" s="166" t="s">
        <v>288</v>
      </c>
      <c r="B38" s="133" t="s">
        <v>79</v>
      </c>
      <c r="C38" s="134" t="s">
        <v>1467</v>
      </c>
      <c r="D38" s="135" t="s">
        <v>1072</v>
      </c>
      <c r="E38" s="177" t="s">
        <v>1467</v>
      </c>
      <c r="F38" s="135" t="s">
        <v>1072</v>
      </c>
      <c r="G38" s="135" t="s">
        <v>1072</v>
      </c>
      <c r="H38" s="286" t="s">
        <v>1072</v>
      </c>
    </row>
    <row r="39" spans="1:8" ht="27" customHeight="1" thickTop="1" thickBot="1" x14ac:dyDescent="0.25">
      <c r="A39" s="166" t="s">
        <v>504</v>
      </c>
      <c r="B39" s="133" t="s">
        <v>505</v>
      </c>
      <c r="C39" s="134" t="s">
        <v>1466</v>
      </c>
      <c r="D39" s="177" t="s">
        <v>1466</v>
      </c>
      <c r="E39" s="135" t="s">
        <v>1072</v>
      </c>
      <c r="F39" s="135" t="s">
        <v>1072</v>
      </c>
      <c r="G39" s="135" t="s">
        <v>1072</v>
      </c>
      <c r="H39" s="286" t="s">
        <v>1072</v>
      </c>
    </row>
    <row r="40" spans="1:8" ht="27" customHeight="1" thickTop="1" thickBot="1" x14ac:dyDescent="0.25">
      <c r="A40" s="166" t="s">
        <v>162</v>
      </c>
      <c r="B40" s="133" t="s">
        <v>172</v>
      </c>
      <c r="C40" s="134" t="s">
        <v>1581</v>
      </c>
      <c r="D40" s="135" t="s">
        <v>1072</v>
      </c>
      <c r="E40" s="135" t="s">
        <v>1072</v>
      </c>
      <c r="F40" s="176" t="s">
        <v>1582</v>
      </c>
      <c r="G40" s="176" t="s">
        <v>1583</v>
      </c>
      <c r="H40" s="285" t="s">
        <v>1584</v>
      </c>
    </row>
    <row r="41" spans="1:8" ht="27" customHeight="1" thickTop="1" thickBot="1" x14ac:dyDescent="0.25">
      <c r="A41" s="166" t="s">
        <v>554</v>
      </c>
      <c r="B41" s="133" t="s">
        <v>25</v>
      </c>
      <c r="C41" s="134" t="s">
        <v>1465</v>
      </c>
      <c r="D41" s="135" t="s">
        <v>1072</v>
      </c>
      <c r="E41" s="135" t="s">
        <v>1072</v>
      </c>
      <c r="F41" s="177" t="s">
        <v>1465</v>
      </c>
      <c r="G41" s="135" t="s">
        <v>1072</v>
      </c>
      <c r="H41" s="286" t="s">
        <v>1072</v>
      </c>
    </row>
    <row r="42" spans="1:8" ht="27" customHeight="1" thickTop="1" thickBot="1" x14ac:dyDescent="0.25">
      <c r="A42" s="166" t="s">
        <v>570</v>
      </c>
      <c r="B42" s="133" t="s">
        <v>124</v>
      </c>
      <c r="C42" s="134" t="s">
        <v>1464</v>
      </c>
      <c r="D42" s="135" t="s">
        <v>1072</v>
      </c>
      <c r="E42" s="135" t="s">
        <v>1072</v>
      </c>
      <c r="F42" s="135" t="s">
        <v>1072</v>
      </c>
      <c r="G42" s="177" t="s">
        <v>1464</v>
      </c>
      <c r="H42" s="286" t="s">
        <v>1072</v>
      </c>
    </row>
    <row r="43" spans="1:8" ht="27" customHeight="1" thickTop="1" thickBot="1" x14ac:dyDescent="0.25">
      <c r="A43" s="166" t="s">
        <v>577</v>
      </c>
      <c r="B43" s="133" t="s">
        <v>126</v>
      </c>
      <c r="C43" s="134" t="s">
        <v>1463</v>
      </c>
      <c r="D43" s="135" t="s">
        <v>1072</v>
      </c>
      <c r="E43" s="135" t="s">
        <v>1072</v>
      </c>
      <c r="F43" s="135" t="s">
        <v>1072</v>
      </c>
      <c r="G43" s="177" t="s">
        <v>1463</v>
      </c>
      <c r="H43" s="286" t="s">
        <v>1072</v>
      </c>
    </row>
    <row r="44" spans="1:8" ht="27" customHeight="1" thickTop="1" thickBot="1" x14ac:dyDescent="0.25">
      <c r="A44" s="166" t="s">
        <v>585</v>
      </c>
      <c r="B44" s="133" t="s">
        <v>586</v>
      </c>
      <c r="C44" s="134" t="s">
        <v>1585</v>
      </c>
      <c r="D44" s="135" t="s">
        <v>1072</v>
      </c>
      <c r="E44" s="135" t="s">
        <v>1072</v>
      </c>
      <c r="F44" s="135" t="s">
        <v>1072</v>
      </c>
      <c r="G44" s="177" t="s">
        <v>1585</v>
      </c>
      <c r="H44" s="286" t="s">
        <v>1072</v>
      </c>
    </row>
    <row r="45" spans="1:8" ht="27" customHeight="1" thickTop="1" thickBot="1" x14ac:dyDescent="0.25">
      <c r="A45" s="166" t="s">
        <v>595</v>
      </c>
      <c r="B45" s="133" t="s">
        <v>40</v>
      </c>
      <c r="C45" s="134" t="s">
        <v>1462</v>
      </c>
      <c r="D45" s="135" t="s">
        <v>1072</v>
      </c>
      <c r="E45" s="135" t="s">
        <v>1072</v>
      </c>
      <c r="F45" s="135" t="s">
        <v>1072</v>
      </c>
      <c r="G45" s="177" t="s">
        <v>1462</v>
      </c>
      <c r="H45" s="286" t="s">
        <v>1072</v>
      </c>
    </row>
    <row r="46" spans="1:8" ht="27" customHeight="1" thickTop="1" thickBot="1" x14ac:dyDescent="0.25">
      <c r="A46" s="166" t="s">
        <v>613</v>
      </c>
      <c r="B46" s="133" t="s">
        <v>43</v>
      </c>
      <c r="C46" s="134" t="s">
        <v>1461</v>
      </c>
      <c r="D46" s="135" t="s">
        <v>1072</v>
      </c>
      <c r="E46" s="135" t="s">
        <v>1072</v>
      </c>
      <c r="F46" s="135" t="s">
        <v>1072</v>
      </c>
      <c r="G46" s="135" t="s">
        <v>1072</v>
      </c>
      <c r="H46" s="287" t="s">
        <v>1461</v>
      </c>
    </row>
    <row r="47" spans="1:8" ht="27" customHeight="1" thickTop="1" thickBot="1" x14ac:dyDescent="0.25">
      <c r="A47" s="166" t="s">
        <v>636</v>
      </c>
      <c r="B47" s="133" t="s">
        <v>71</v>
      </c>
      <c r="C47" s="134" t="s">
        <v>1460</v>
      </c>
      <c r="D47" s="135" t="s">
        <v>1072</v>
      </c>
      <c r="E47" s="135" t="s">
        <v>1072</v>
      </c>
      <c r="F47" s="135" t="s">
        <v>1072</v>
      </c>
      <c r="G47" s="135" t="s">
        <v>1072</v>
      </c>
      <c r="H47" s="287" t="s">
        <v>1460</v>
      </c>
    </row>
    <row r="48" spans="1:8" ht="27" customHeight="1" thickTop="1" thickBot="1" x14ac:dyDescent="0.25">
      <c r="A48" s="166" t="s">
        <v>652</v>
      </c>
      <c r="B48" s="133" t="s">
        <v>79</v>
      </c>
      <c r="C48" s="134" t="s">
        <v>1459</v>
      </c>
      <c r="D48" s="135" t="s">
        <v>1072</v>
      </c>
      <c r="E48" s="135" t="s">
        <v>1072</v>
      </c>
      <c r="F48" s="135" t="s">
        <v>1072</v>
      </c>
      <c r="G48" s="135" t="s">
        <v>1072</v>
      </c>
      <c r="H48" s="287" t="s">
        <v>1459</v>
      </c>
    </row>
    <row r="49" spans="1:8" ht="27" customHeight="1" thickTop="1" thickBot="1" x14ac:dyDescent="0.25">
      <c r="A49" s="166" t="s">
        <v>658</v>
      </c>
      <c r="B49" s="133" t="s">
        <v>659</v>
      </c>
      <c r="C49" s="134" t="s">
        <v>1458</v>
      </c>
      <c r="D49" s="135" t="s">
        <v>1072</v>
      </c>
      <c r="E49" s="135" t="s">
        <v>1072</v>
      </c>
      <c r="F49" s="135" t="s">
        <v>1072</v>
      </c>
      <c r="G49" s="177" t="s">
        <v>1458</v>
      </c>
      <c r="H49" s="286" t="s">
        <v>1072</v>
      </c>
    </row>
    <row r="50" spans="1:8" ht="27" customHeight="1" thickTop="1" thickBot="1" x14ac:dyDescent="0.25">
      <c r="A50" s="166" t="s">
        <v>704</v>
      </c>
      <c r="B50" s="133" t="s">
        <v>95</v>
      </c>
      <c r="C50" s="134" t="s">
        <v>1586</v>
      </c>
      <c r="D50" s="135" t="s">
        <v>1072</v>
      </c>
      <c r="E50" s="135" t="s">
        <v>1072</v>
      </c>
      <c r="F50" s="135" t="s">
        <v>1072</v>
      </c>
      <c r="G50" s="135" t="s">
        <v>1072</v>
      </c>
      <c r="H50" s="287" t="s">
        <v>1586</v>
      </c>
    </row>
    <row r="51" spans="1:8" ht="27" customHeight="1" thickTop="1" thickBot="1" x14ac:dyDescent="0.25">
      <c r="A51" s="166" t="s">
        <v>713</v>
      </c>
      <c r="B51" s="133" t="s">
        <v>714</v>
      </c>
      <c r="C51" s="134" t="s">
        <v>1457</v>
      </c>
      <c r="D51" s="135" t="s">
        <v>1072</v>
      </c>
      <c r="E51" s="135" t="s">
        <v>1072</v>
      </c>
      <c r="F51" s="135" t="s">
        <v>1072</v>
      </c>
      <c r="G51" s="135" t="s">
        <v>1072</v>
      </c>
      <c r="H51" s="287" t="s">
        <v>1457</v>
      </c>
    </row>
    <row r="52" spans="1:8" ht="27" customHeight="1" thickTop="1" thickBot="1" x14ac:dyDescent="0.25">
      <c r="A52" s="166" t="s">
        <v>1401</v>
      </c>
      <c r="B52" s="133" t="s">
        <v>459</v>
      </c>
      <c r="C52" s="134" t="s">
        <v>1456</v>
      </c>
      <c r="D52" s="135" t="s">
        <v>1072</v>
      </c>
      <c r="E52" s="135" t="s">
        <v>1072</v>
      </c>
      <c r="F52" s="135" t="s">
        <v>1072</v>
      </c>
      <c r="G52" s="177" t="s">
        <v>1456</v>
      </c>
      <c r="H52" s="286" t="s">
        <v>1072</v>
      </c>
    </row>
    <row r="53" spans="1:8" ht="27" customHeight="1" thickTop="1" thickBot="1" x14ac:dyDescent="0.25">
      <c r="A53" s="166" t="s">
        <v>171</v>
      </c>
      <c r="B53" s="133" t="s">
        <v>174</v>
      </c>
      <c r="C53" s="134" t="s">
        <v>1455</v>
      </c>
      <c r="D53" s="135" t="s">
        <v>1072</v>
      </c>
      <c r="E53" s="135" t="s">
        <v>1072</v>
      </c>
      <c r="F53" s="177" t="s">
        <v>1454</v>
      </c>
      <c r="G53" s="177" t="s">
        <v>1453</v>
      </c>
      <c r="H53" s="287" t="s">
        <v>1453</v>
      </c>
    </row>
    <row r="54" spans="1:8" ht="27" customHeight="1" thickTop="1" thickBot="1" x14ac:dyDescent="0.25">
      <c r="A54" s="166" t="s">
        <v>173</v>
      </c>
      <c r="B54" s="133" t="s">
        <v>902</v>
      </c>
      <c r="C54" s="134" t="s">
        <v>1452</v>
      </c>
      <c r="D54" s="135" t="s">
        <v>1072</v>
      </c>
      <c r="E54" s="135" t="s">
        <v>1072</v>
      </c>
      <c r="F54" s="177" t="s">
        <v>1451</v>
      </c>
      <c r="G54" s="177" t="s">
        <v>1451</v>
      </c>
      <c r="H54" s="286" t="s">
        <v>1072</v>
      </c>
    </row>
    <row r="55" spans="1:8" ht="27" customHeight="1" thickTop="1" thickBot="1" x14ac:dyDescent="0.25">
      <c r="A55" s="166" t="s">
        <v>1418</v>
      </c>
      <c r="B55" s="133" t="s">
        <v>180</v>
      </c>
      <c r="C55" s="134" t="s">
        <v>1450</v>
      </c>
      <c r="D55" s="176" t="s">
        <v>1449</v>
      </c>
      <c r="E55" s="176" t="s">
        <v>1449</v>
      </c>
      <c r="F55" s="176" t="s">
        <v>1448</v>
      </c>
      <c r="G55" s="176" t="s">
        <v>1447</v>
      </c>
      <c r="H55" s="285" t="s">
        <v>1446</v>
      </c>
    </row>
    <row r="56" spans="1:8" ht="65.099999999999994" customHeight="1" thickTop="1" thickBot="1" x14ac:dyDescent="0.25">
      <c r="A56" s="169" t="s">
        <v>1419</v>
      </c>
      <c r="B56" s="136" t="s">
        <v>181</v>
      </c>
      <c r="C56" s="137" t="s">
        <v>1445</v>
      </c>
      <c r="D56" s="175" t="s">
        <v>1444</v>
      </c>
      <c r="E56" s="175" t="s">
        <v>1444</v>
      </c>
      <c r="F56" s="175" t="s">
        <v>1444</v>
      </c>
      <c r="G56" s="175" t="s">
        <v>1444</v>
      </c>
      <c r="H56" s="284" t="s">
        <v>1444</v>
      </c>
    </row>
    <row r="57" spans="1:8" ht="24" customHeight="1" thickTop="1" thickBot="1" x14ac:dyDescent="0.25">
      <c r="A57" s="169" t="s">
        <v>1421</v>
      </c>
      <c r="B57" s="136" t="s">
        <v>182</v>
      </c>
      <c r="C57" s="137" t="s">
        <v>1443</v>
      </c>
      <c r="D57" s="138" t="s">
        <v>1072</v>
      </c>
      <c r="E57" s="138" t="s">
        <v>1072</v>
      </c>
      <c r="F57" s="175" t="s">
        <v>1442</v>
      </c>
      <c r="G57" s="175" t="s">
        <v>1441</v>
      </c>
      <c r="H57" s="284" t="s">
        <v>1441</v>
      </c>
    </row>
    <row r="58" spans="1:8" ht="39" customHeight="1" thickTop="1" thickBot="1" x14ac:dyDescent="0.25">
      <c r="A58" s="169" t="s">
        <v>1423</v>
      </c>
      <c r="B58" s="136" t="s">
        <v>999</v>
      </c>
      <c r="C58" s="137" t="s">
        <v>1440</v>
      </c>
      <c r="D58" s="138" t="s">
        <v>1072</v>
      </c>
      <c r="E58" s="138" t="s">
        <v>1072</v>
      </c>
      <c r="F58" s="138" t="s">
        <v>1072</v>
      </c>
      <c r="G58" s="138" t="s">
        <v>1072</v>
      </c>
      <c r="H58" s="284" t="s">
        <v>1440</v>
      </c>
    </row>
    <row r="59" spans="1:8" ht="15" thickTop="1" x14ac:dyDescent="0.2">
      <c r="A59" s="298" t="s">
        <v>1439</v>
      </c>
      <c r="B59" s="299"/>
      <c r="C59" s="150"/>
      <c r="D59" s="149" t="s">
        <v>1587</v>
      </c>
      <c r="E59" s="149" t="s">
        <v>1588</v>
      </c>
      <c r="F59" s="149" t="s">
        <v>1589</v>
      </c>
      <c r="G59" s="149" t="s">
        <v>1590</v>
      </c>
      <c r="H59" s="283" t="s">
        <v>1591</v>
      </c>
    </row>
    <row r="60" spans="1:8" x14ac:dyDescent="0.2">
      <c r="A60" s="298" t="s">
        <v>1438</v>
      </c>
      <c r="B60" s="299"/>
      <c r="C60" s="150"/>
      <c r="D60" s="149" t="s">
        <v>1592</v>
      </c>
      <c r="E60" s="149" t="s">
        <v>1593</v>
      </c>
      <c r="F60" s="149" t="s">
        <v>1437</v>
      </c>
      <c r="G60" s="149" t="s">
        <v>1594</v>
      </c>
      <c r="H60" s="283" t="s">
        <v>1595</v>
      </c>
    </row>
    <row r="61" spans="1:8" x14ac:dyDescent="0.2">
      <c r="A61" s="298" t="s">
        <v>1436</v>
      </c>
      <c r="B61" s="299"/>
      <c r="C61" s="150"/>
      <c r="D61" s="149" t="s">
        <v>1587</v>
      </c>
      <c r="E61" s="149" t="s">
        <v>1596</v>
      </c>
      <c r="F61" s="149" t="s">
        <v>1597</v>
      </c>
      <c r="G61" s="149" t="s">
        <v>1598</v>
      </c>
      <c r="H61" s="283" t="s">
        <v>1435</v>
      </c>
    </row>
    <row r="62" spans="1:8" x14ac:dyDescent="0.2">
      <c r="A62" s="298" t="s">
        <v>1434</v>
      </c>
      <c r="B62" s="299"/>
      <c r="C62" s="150"/>
      <c r="D62" s="149" t="s">
        <v>1592</v>
      </c>
      <c r="E62" s="149" t="s">
        <v>1599</v>
      </c>
      <c r="F62" s="149" t="s">
        <v>1600</v>
      </c>
      <c r="G62" s="149" t="s">
        <v>1601</v>
      </c>
      <c r="H62" s="283" t="s">
        <v>1602</v>
      </c>
    </row>
    <row r="63" spans="1:8" x14ac:dyDescent="0.2">
      <c r="A63" s="171"/>
      <c r="B63" s="151"/>
      <c r="C63" s="151"/>
      <c r="D63" s="151"/>
      <c r="E63" s="151"/>
      <c r="F63" s="151"/>
      <c r="G63" s="151"/>
      <c r="H63" s="165"/>
    </row>
    <row r="64" spans="1:8" ht="60" customHeight="1" x14ac:dyDescent="0.2">
      <c r="A64" s="173"/>
      <c r="B64" s="150"/>
      <c r="C64" s="150"/>
      <c r="D64" s="150"/>
      <c r="E64" s="150"/>
      <c r="F64" s="150"/>
      <c r="G64" s="150"/>
      <c r="H64" s="165"/>
    </row>
    <row r="65" spans="1:8" ht="69.95" customHeight="1" thickBot="1" x14ac:dyDescent="0.25">
      <c r="A65" s="290" t="s">
        <v>184</v>
      </c>
      <c r="B65" s="291"/>
      <c r="C65" s="291"/>
      <c r="D65" s="291"/>
      <c r="E65" s="291"/>
      <c r="F65" s="291"/>
      <c r="G65" s="291"/>
      <c r="H65" s="174"/>
    </row>
  </sheetData>
  <mergeCells count="8">
    <mergeCell ref="A65:G65"/>
    <mergeCell ref="A3:G3"/>
    <mergeCell ref="F1:H1"/>
    <mergeCell ref="F2:H2"/>
    <mergeCell ref="A59:B59"/>
    <mergeCell ref="A60:B60"/>
    <mergeCell ref="A61:B61"/>
    <mergeCell ref="A62:B62"/>
  </mergeCells>
  <pageMargins left="0.7" right="0.7" top="0.75" bottom="0.75" header="0.3" footer="0.3"/>
  <pageSetup paperSize="8" orientation="landscape" r:id="rId1"/>
  <headerFooter>
    <oddHeader>&amp;L &amp;CServiço Social do Comercio
CNPJ: 03.779.012/0001-54 &amp;R</oddHeader>
    <oddFooter>&amp;L &amp;C  -  -  / TO
 / obras@sescto.com.br &amp;R</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1C2B2-02F8-4705-80AD-BC8D58966AAA}">
  <sheetPr codeName="Plan3">
    <pageSetUpPr fitToPage="1"/>
  </sheetPr>
  <dimension ref="F1:BA45"/>
  <sheetViews>
    <sheetView showGridLines="0" topLeftCell="A8" zoomScale="84" zoomScaleNormal="84" zoomScaleSheetLayoutView="100" workbookViewId="0">
      <pane xSplit="4" topLeftCell="E1" activePane="topRight" state="frozen"/>
      <selection activeCell="A8" sqref="A8"/>
      <selection pane="topRight" activeCell="K25" sqref="K25"/>
    </sheetView>
  </sheetViews>
  <sheetFormatPr defaultRowHeight="12.75" x14ac:dyDescent="0.2"/>
  <cols>
    <col min="1" max="2" width="2.5" style="178" customWidth="1"/>
    <col min="3" max="3" width="21.875" style="178" customWidth="1"/>
    <col min="4" max="5" width="2.5" style="178" customWidth="1"/>
    <col min="6" max="6" width="13.75" style="178" customWidth="1"/>
    <col min="7" max="7" width="22.5" style="178" customWidth="1"/>
    <col min="8" max="11" width="10.25" style="178" customWidth="1"/>
    <col min="12" max="12" width="7.75" style="182" bestFit="1" customWidth="1"/>
    <col min="13" max="14" width="7.625" style="181" customWidth="1"/>
    <col min="15" max="15" width="3.25" style="178" customWidth="1"/>
    <col min="16" max="16" width="13.75" style="178" customWidth="1"/>
    <col min="17" max="17" width="22.5" style="178" customWidth="1"/>
    <col min="18" max="21" width="10.25" style="178" customWidth="1"/>
    <col min="22" max="22" width="7.75" style="178" bestFit="1" customWidth="1"/>
    <col min="23" max="24" width="7.625" style="178" customWidth="1"/>
    <col min="25" max="25" width="5.25" style="178" customWidth="1"/>
    <col min="26" max="26" width="13.75" style="178" customWidth="1"/>
    <col min="27" max="27" width="22.5" style="178" customWidth="1"/>
    <col min="28" max="31" width="10.25" style="178" customWidth="1"/>
    <col min="32" max="32" width="7.75" style="178" bestFit="1" customWidth="1"/>
    <col min="33" max="34" width="7.625" style="178" customWidth="1"/>
    <col min="35" max="35" width="65" style="180" hidden="1" customWidth="1"/>
    <col min="36" max="52" width="8" style="180" hidden="1" customWidth="1"/>
    <col min="53" max="53" width="8" style="179" customWidth="1"/>
    <col min="54" max="68" width="8" style="178" customWidth="1"/>
    <col min="69" max="16384" width="9" style="178"/>
  </cols>
  <sheetData>
    <row r="1" spans="6:52" ht="12.75" hidden="1" customHeight="1" x14ac:dyDescent="0.2"/>
    <row r="2" spans="6:52" ht="12.75" hidden="1" customHeight="1" x14ac:dyDescent="0.2"/>
    <row r="3" spans="6:52" ht="12.75" hidden="1" customHeight="1" x14ac:dyDescent="0.2"/>
    <row r="4" spans="6:52" ht="12.75" hidden="1" customHeight="1" x14ac:dyDescent="0.2"/>
    <row r="5" spans="6:52" ht="12.75" hidden="1" customHeight="1" x14ac:dyDescent="0.2"/>
    <row r="6" spans="6:52" ht="12.75" hidden="1" customHeight="1" x14ac:dyDescent="0.2"/>
    <row r="7" spans="6:52" hidden="1" x14ac:dyDescent="0.2"/>
    <row r="8" spans="6:52" ht="15" x14ac:dyDescent="0.25">
      <c r="G8" s="318" t="s">
        <v>1556</v>
      </c>
      <c r="H8" s="318"/>
      <c r="I8" s="318"/>
      <c r="K8" s="271"/>
      <c r="Q8" s="318" t="s">
        <v>1555</v>
      </c>
      <c r="R8" s="318"/>
      <c r="S8" s="318"/>
      <c r="U8" s="271"/>
      <c r="AA8" s="318" t="s">
        <v>1554</v>
      </c>
      <c r="AB8" s="318"/>
      <c r="AC8" s="318"/>
      <c r="AE8" s="271"/>
    </row>
    <row r="9" spans="6:52" ht="15" x14ac:dyDescent="0.25">
      <c r="G9" s="272"/>
      <c r="H9" s="272"/>
      <c r="I9" s="272"/>
      <c r="J9" s="272"/>
      <c r="K9" s="271"/>
      <c r="Q9" s="272"/>
      <c r="R9" s="272"/>
      <c r="S9" s="272"/>
      <c r="T9" s="272"/>
      <c r="U9" s="271"/>
      <c r="AA9" s="272"/>
      <c r="AB9" s="272"/>
      <c r="AC9" s="272"/>
      <c r="AD9" s="272"/>
      <c r="AE9" s="271"/>
    </row>
    <row r="10" spans="6:52" ht="15" customHeight="1" x14ac:dyDescent="0.2">
      <c r="AI10" s="270" t="s">
        <v>1553</v>
      </c>
      <c r="AJ10" s="267">
        <f>ROUND((((1+$K$21+$K$23+$K$22)*(1+$K$24)*(1+$K$25))/(1-SUM($K$26:$K$28)))-1,4)</f>
        <v>0.22470000000000001</v>
      </c>
      <c r="AK10" s="266" t="s">
        <v>1550</v>
      </c>
      <c r="AL10" s="246">
        <f>VLOOKUP($F$18,$AI$14:$AW$20,4,0)</f>
        <v>0.2034</v>
      </c>
      <c r="AM10" s="246">
        <f>VLOOKUP($F$18,$AI$14:$AW$20,5,0)</f>
        <v>0.25</v>
      </c>
      <c r="AN10" s="246">
        <f>VLOOKUP($F$18,$AI$14:$AW$20,6,0)</f>
        <v>0.03</v>
      </c>
      <c r="AO10" s="246">
        <f>VLOOKUP($F$18,$AI$14:$AW$20,7,0)</f>
        <v>5.5E-2</v>
      </c>
      <c r="AP10" s="246">
        <f>VLOOKUP($F$18,$AI$14:$AW$20,8,0)</f>
        <v>5.8999999999999999E-3</v>
      </c>
      <c r="AQ10" s="246">
        <f>VLOOKUP($F$18,$AI$14:$AW$20,9,0)</f>
        <v>1.3899999999999999E-2</v>
      </c>
      <c r="AR10" s="246">
        <f>VLOOKUP($F$18,$AI$14:$AW$20,10,0)</f>
        <v>9.7000000000000003E-3</v>
      </c>
      <c r="AS10" s="246">
        <f>VLOOKUP($F$18,$AI$14:$AW$20,11,0)</f>
        <v>1.2699999999999999E-2</v>
      </c>
      <c r="AT10" s="246">
        <f>VLOOKUP($F$18,$AI$14:$AW$20,12,0)</f>
        <v>8.0000000000000002E-3</v>
      </c>
      <c r="AU10" s="246">
        <f>VLOOKUP($F$18,$AI$14:$AW$20,13,0)</f>
        <v>0.01</v>
      </c>
      <c r="AV10" s="246">
        <f>VLOOKUP($F$18,$AI$14:$AW$20,14,0)</f>
        <v>6.1600000000000002E-2</v>
      </c>
      <c r="AW10" s="246">
        <f>VLOOKUP($F$18,$AI$14:$AW$20,15,0)</f>
        <v>8.9599999999999999E-2</v>
      </c>
      <c r="AX10" s="268">
        <v>6.4999999999999997E-3</v>
      </c>
      <c r="AY10" s="268">
        <v>0.03</v>
      </c>
      <c r="AZ10" s="268">
        <v>4.4999999999999998E-2</v>
      </c>
    </row>
    <row r="11" spans="6:52" ht="15" x14ac:dyDescent="0.25">
      <c r="F11" s="269" t="s">
        <v>1552</v>
      </c>
      <c r="G11" s="257"/>
      <c r="H11" s="256"/>
      <c r="I11" s="311" t="s">
        <v>1551</v>
      </c>
      <c r="J11" s="312"/>
      <c r="K11" s="313"/>
      <c r="P11" s="269" t="s">
        <v>1552</v>
      </c>
      <c r="Q11" s="257"/>
      <c r="R11" s="256"/>
      <c r="S11" s="311" t="s">
        <v>1551</v>
      </c>
      <c r="T11" s="312"/>
      <c r="U11" s="313"/>
      <c r="Z11" s="269" t="s">
        <v>1552</v>
      </c>
      <c r="AA11" s="257"/>
      <c r="AB11" s="256"/>
      <c r="AC11" s="311" t="s">
        <v>1551</v>
      </c>
      <c r="AD11" s="312"/>
      <c r="AE11" s="313"/>
      <c r="AJ11" s="267">
        <f>ROUND((((1+$U$21+$U$23+$U$22)*(1+$U$24)*(1+$U$25))/(1-SUM($U$26:$U$28)))-1,4)</f>
        <v>0</v>
      </c>
      <c r="AK11" s="266" t="s">
        <v>1550</v>
      </c>
      <c r="AL11" s="246">
        <f>VLOOKUP($P$18,$AI$14:$AW$20,4,0)</f>
        <v>0.111</v>
      </c>
      <c r="AM11" s="246">
        <f>VLOOKUP($P$18,$AI$14:$AW$20,5,0)</f>
        <v>0.16800000000000001</v>
      </c>
      <c r="AN11" s="246">
        <f>VLOOKUP($P$18,$AI$14:$AW$20,6,0)</f>
        <v>1.4999999999999999E-2</v>
      </c>
      <c r="AO11" s="246">
        <f>VLOOKUP($P$18,$AI$14:$AW$20,7,0)</f>
        <v>4.4900000000000002E-2</v>
      </c>
      <c r="AP11" s="246">
        <f>VLOOKUP($P$18,$AI$14:$AW$20,8,0)</f>
        <v>8.5000000000000006E-3</v>
      </c>
      <c r="AQ11" s="246">
        <f>VLOOKUP($P$18,$AI$14:$AW$20,9,0)</f>
        <v>1.11E-2</v>
      </c>
      <c r="AR11" s="246">
        <f>VLOOKUP($P$18,$AI$14:$AW$20,10,0)</f>
        <v>5.5999999999999999E-3</v>
      </c>
      <c r="AS11" s="246">
        <f>VLOOKUP($P$18,$AI$14:$AW$20,11,0)</f>
        <v>8.8999999999999999E-3</v>
      </c>
      <c r="AT11" s="246">
        <f>VLOOKUP($P$18,$AI$14:$AW$20,12,0)</f>
        <v>3.0000000000000001E-3</v>
      </c>
      <c r="AU11" s="246">
        <f>VLOOKUP($P$18,$AI$14:$AW$20,13,0)</f>
        <v>8.2000000000000007E-3</v>
      </c>
      <c r="AV11" s="246">
        <f>VLOOKUP($P$18,$AI$14:$AW$20,14,0)</f>
        <v>3.5000000000000003E-2</v>
      </c>
      <c r="AW11" s="246">
        <f>VLOOKUP($P$18,$AI$14:$AW$20,15,0)</f>
        <v>6.2199999999999998E-2</v>
      </c>
      <c r="AX11" s="268"/>
      <c r="AY11" s="268"/>
    </row>
    <row r="12" spans="6:52" ht="15" customHeight="1" x14ac:dyDescent="0.25">
      <c r="F12" s="252" t="str">
        <f>Import.Proponente</f>
        <v>SESC - SERVIÇO SOCIAL DO COMERCIO</v>
      </c>
      <c r="G12" s="251"/>
      <c r="H12" s="250"/>
      <c r="I12" s="314" t="str">
        <f>Import.Município</f>
        <v>PALMAS - TO</v>
      </c>
      <c r="J12" s="315"/>
      <c r="K12" s="316"/>
      <c r="P12" s="252" t="str">
        <f>Import.Proponente</f>
        <v>SESC - SERVIÇO SOCIAL DO COMERCIO</v>
      </c>
      <c r="Q12" s="251"/>
      <c r="R12" s="250"/>
      <c r="S12" s="314" t="str">
        <f>Import.Município</f>
        <v>PALMAS - TO</v>
      </c>
      <c r="T12" s="315"/>
      <c r="U12" s="316"/>
      <c r="Z12" s="252" t="str">
        <f>Import.Proponente</f>
        <v>SESC - SERVIÇO SOCIAL DO COMERCIO</v>
      </c>
      <c r="AA12" s="251"/>
      <c r="AB12" s="250"/>
      <c r="AC12" s="314" t="str">
        <f>Import.Município</f>
        <v>PALMAS - TO</v>
      </c>
      <c r="AD12" s="315"/>
      <c r="AE12" s="316"/>
      <c r="AJ12" s="267">
        <f>ROUND((((1+$AE$21+$AE$23+$AE$22)*(1+$AE$24)*(1+$AE$25))/(1-SUM($AE$26:$AE$28)))-1,4)</f>
        <v>0</v>
      </c>
      <c r="AK12" s="266" t="s">
        <v>1550</v>
      </c>
      <c r="AL12" s="246">
        <f>VLOOKUP($Z$18,$AI$14:$AW$20,4,0)</f>
        <v>0</v>
      </c>
      <c r="AM12" s="246">
        <f>VLOOKUP($Z$18,$AI$14:$AM$20,5,0)</f>
        <v>0</v>
      </c>
      <c r="AN12" s="246">
        <f>VLOOKUP($Z$18,$AI$14:$AW$20,6,0)</f>
        <v>0</v>
      </c>
      <c r="AO12" s="246">
        <f>VLOOKUP($Z$18,$AI$14:$AW$20,7,0)</f>
        <v>0</v>
      </c>
      <c r="AP12" s="246">
        <f>VLOOKUP($Z$18,$AI$14:$AW$20,8,0)</f>
        <v>0</v>
      </c>
      <c r="AQ12" s="246">
        <f>VLOOKUP($Z$18,$AI$14:$AW$20,9,0)</f>
        <v>0</v>
      </c>
      <c r="AR12" s="246">
        <f>VLOOKUP($Z$18,$AI$14:$AW$20,10,0)</f>
        <v>0</v>
      </c>
      <c r="AS12" s="246">
        <f>VLOOKUP($Z$18,$AI$14:$AW$20,11,0)</f>
        <v>0</v>
      </c>
      <c r="AT12" s="246">
        <f>VLOOKUP($Z$18,$AI$14:$AW$20,12,0)</f>
        <v>0</v>
      </c>
      <c r="AU12" s="246">
        <f>VLOOKUP($Z$18,$AI$14:$AW$20,13,0)</f>
        <v>0</v>
      </c>
      <c r="AV12" s="246">
        <f>VLOOKUP($Z$18,$AI$14:$AW$20,14,0)</f>
        <v>0</v>
      </c>
      <c r="AW12" s="246">
        <f>VLOOKUP($Z$18,$AI$14:$AW$20,15,0)</f>
        <v>0</v>
      </c>
    </row>
    <row r="13" spans="6:52" ht="12.75" customHeight="1" x14ac:dyDescent="0.2">
      <c r="F13" s="263"/>
      <c r="G13" s="263"/>
      <c r="H13" s="265"/>
      <c r="I13" s="264"/>
      <c r="J13" s="263"/>
      <c r="K13" s="263"/>
      <c r="P13" s="263"/>
      <c r="Q13" s="263"/>
      <c r="R13" s="265"/>
      <c r="S13" s="264"/>
      <c r="T13" s="263"/>
      <c r="U13" s="263"/>
      <c r="Z13" s="263"/>
      <c r="AA13" s="263"/>
      <c r="AB13" s="265"/>
      <c r="AC13" s="264"/>
      <c r="AD13" s="263"/>
      <c r="AE13" s="263"/>
      <c r="AL13" s="262" t="s">
        <v>1549</v>
      </c>
      <c r="AM13" s="262"/>
      <c r="AN13" s="262" t="s">
        <v>1548</v>
      </c>
      <c r="AO13" s="262"/>
      <c r="AP13" s="262" t="s">
        <v>1547</v>
      </c>
      <c r="AQ13" s="262"/>
      <c r="AR13" s="262" t="s">
        <v>1546</v>
      </c>
      <c r="AS13" s="262"/>
      <c r="AT13" s="262" t="s">
        <v>1545</v>
      </c>
      <c r="AU13" s="262"/>
      <c r="AV13" s="262" t="s">
        <v>1544</v>
      </c>
      <c r="AW13" s="262"/>
    </row>
    <row r="14" spans="6:52" ht="15" x14ac:dyDescent="0.25">
      <c r="F14" s="261" t="s">
        <v>1543</v>
      </c>
      <c r="G14" s="260"/>
      <c r="H14" s="259"/>
      <c r="I14" s="258" t="s">
        <v>1542</v>
      </c>
      <c r="J14" s="257"/>
      <c r="K14" s="256"/>
      <c r="P14" s="261" t="s">
        <v>1543</v>
      </c>
      <c r="Q14" s="260"/>
      <c r="R14" s="259"/>
      <c r="S14" s="258" t="s">
        <v>1542</v>
      </c>
      <c r="T14" s="257"/>
      <c r="U14" s="256"/>
      <c r="Z14" s="261" t="s">
        <v>1543</v>
      </c>
      <c r="AA14" s="260"/>
      <c r="AB14" s="259"/>
      <c r="AC14" s="258" t="s">
        <v>1542</v>
      </c>
      <c r="AD14" s="257"/>
      <c r="AE14" s="256"/>
      <c r="AI14" s="180" t="s">
        <v>1537</v>
      </c>
      <c r="AL14" s="246">
        <v>0.2034</v>
      </c>
      <c r="AM14" s="246">
        <v>0.25</v>
      </c>
      <c r="AN14" s="246">
        <v>0.03</v>
      </c>
      <c r="AO14" s="246">
        <v>5.5E-2</v>
      </c>
      <c r="AP14" s="246">
        <v>5.8999999999999999E-3</v>
      </c>
      <c r="AQ14" s="246">
        <v>1.3899999999999999E-2</v>
      </c>
      <c r="AR14" s="246">
        <v>9.7000000000000003E-3</v>
      </c>
      <c r="AS14" s="246">
        <v>1.2699999999999999E-2</v>
      </c>
      <c r="AT14" s="246">
        <v>8.0000000000000002E-3</v>
      </c>
      <c r="AU14" s="246">
        <v>0.01</v>
      </c>
      <c r="AV14" s="246">
        <v>6.1600000000000002E-2</v>
      </c>
      <c r="AW14" s="246">
        <v>8.9599999999999999E-2</v>
      </c>
    </row>
    <row r="15" spans="6:52" ht="29.25" customHeight="1" x14ac:dyDescent="0.25">
      <c r="F15" s="323" t="str">
        <f>[1]Dados!$G$9</f>
        <v>REFORMAS E REPAROS NA ÁREA EXTERNA</v>
      </c>
      <c r="G15" s="324"/>
      <c r="H15" s="325"/>
      <c r="I15" s="320" t="str">
        <f>Import.Localidade</f>
        <v>PALMAS - TO</v>
      </c>
      <c r="J15" s="321"/>
      <c r="K15" s="322"/>
      <c r="P15" s="255" t="str">
        <f>[1]Dados!$G$9</f>
        <v>REFORMAS E REPAROS NA ÁREA EXTERNA</v>
      </c>
      <c r="Q15" s="254"/>
      <c r="R15" s="253"/>
      <c r="S15" s="252" t="str">
        <f>Import.Localidade</f>
        <v>PALMAS - TO</v>
      </c>
      <c r="T15" s="251"/>
      <c r="U15" s="250"/>
      <c r="Z15" s="255" t="str">
        <f>[1]Dados!$G$9</f>
        <v>REFORMAS E REPAROS NA ÁREA EXTERNA</v>
      </c>
      <c r="AA15" s="254"/>
      <c r="AB15" s="253"/>
      <c r="AC15" s="252" t="str">
        <f>Import.Localidade</f>
        <v>PALMAS - TO</v>
      </c>
      <c r="AD15" s="251"/>
      <c r="AE15" s="250"/>
      <c r="AI15" s="180" t="s">
        <v>1541</v>
      </c>
      <c r="AL15" s="246">
        <v>0.19600000000000001</v>
      </c>
      <c r="AM15" s="246">
        <v>0.24229999999999999</v>
      </c>
      <c r="AN15" s="246">
        <v>3.7999999999999999E-2</v>
      </c>
      <c r="AO15" s="246">
        <v>4.6699999999999998E-2</v>
      </c>
      <c r="AP15" s="246">
        <v>1.0200000000000001E-2</v>
      </c>
      <c r="AQ15" s="246">
        <v>1.21E-2</v>
      </c>
      <c r="AR15" s="246">
        <v>5.0000000000000001E-3</v>
      </c>
      <c r="AS15" s="246">
        <v>9.7000000000000003E-3</v>
      </c>
      <c r="AT15" s="246">
        <v>3.2000000000000002E-3</v>
      </c>
      <c r="AU15" s="246">
        <v>7.4000000000000003E-3</v>
      </c>
      <c r="AV15" s="246">
        <v>6.6400000000000001E-2</v>
      </c>
      <c r="AW15" s="246">
        <v>8.6900000000000005E-2</v>
      </c>
    </row>
    <row r="16" spans="6:52" x14ac:dyDescent="0.2">
      <c r="F16" s="248"/>
      <c r="G16" s="248"/>
      <c r="H16" s="248"/>
      <c r="I16" s="181"/>
      <c r="J16" s="181"/>
      <c r="K16" s="248"/>
      <c r="P16" s="248"/>
      <c r="Q16" s="248"/>
      <c r="R16" s="248"/>
      <c r="S16" s="181"/>
      <c r="T16" s="181"/>
      <c r="U16" s="248"/>
      <c r="Z16" s="248"/>
      <c r="AA16" s="248"/>
      <c r="AB16" s="248"/>
      <c r="AC16" s="181"/>
      <c r="AD16" s="181"/>
      <c r="AE16" s="248"/>
      <c r="AI16" s="180" t="s">
        <v>1540</v>
      </c>
      <c r="AL16" s="246">
        <v>0.20760000000000001</v>
      </c>
      <c r="AM16" s="246">
        <v>0.26440000000000002</v>
      </c>
      <c r="AN16" s="246">
        <v>3.4299999999999997E-2</v>
      </c>
      <c r="AO16" s="246">
        <v>6.7100000000000007E-2</v>
      </c>
      <c r="AP16" s="246">
        <v>9.4000000000000004E-3</v>
      </c>
      <c r="AQ16" s="246">
        <v>1.17E-2</v>
      </c>
      <c r="AR16" s="246">
        <v>0.01</v>
      </c>
      <c r="AS16" s="246">
        <v>1.7399999999999999E-2</v>
      </c>
      <c r="AT16" s="246">
        <v>2.8E-3</v>
      </c>
      <c r="AU16" s="246">
        <v>7.4999999999999997E-3</v>
      </c>
      <c r="AV16" s="246">
        <v>6.7400000000000002E-2</v>
      </c>
      <c r="AW16" s="246">
        <v>9.4E-2</v>
      </c>
    </row>
    <row r="17" spans="6:49" x14ac:dyDescent="0.2">
      <c r="F17" s="249" t="s">
        <v>1539</v>
      </c>
      <c r="G17" s="248"/>
      <c r="H17" s="248"/>
      <c r="I17" s="181"/>
      <c r="J17" s="181"/>
      <c r="K17" s="248"/>
      <c r="P17" s="249" t="s">
        <v>1539</v>
      </c>
      <c r="Q17" s="248"/>
      <c r="R17" s="248"/>
      <c r="S17" s="181"/>
      <c r="T17" s="181"/>
      <c r="U17" s="248"/>
      <c r="Z17" s="249" t="s">
        <v>1539</v>
      </c>
      <c r="AA17" s="248"/>
      <c r="AB17" s="248"/>
      <c r="AC17" s="181"/>
      <c r="AD17" s="181"/>
      <c r="AE17" s="248"/>
      <c r="AI17" s="180" t="s">
        <v>1538</v>
      </c>
      <c r="AL17" s="246">
        <v>0.24</v>
      </c>
      <c r="AM17" s="246">
        <v>0.27860000000000001</v>
      </c>
      <c r="AN17" s="246">
        <v>5.2900000000000003E-2</v>
      </c>
      <c r="AO17" s="246">
        <v>7.9299999999999995E-2</v>
      </c>
      <c r="AP17" s="246">
        <v>1.01E-2</v>
      </c>
      <c r="AQ17" s="246">
        <v>1.11E-2</v>
      </c>
      <c r="AR17" s="246">
        <v>0.01</v>
      </c>
      <c r="AS17" s="246">
        <v>1.9699999999999999E-2</v>
      </c>
      <c r="AT17" s="246">
        <v>2.5000000000000001E-3</v>
      </c>
      <c r="AU17" s="246">
        <v>5.5999999999999999E-3</v>
      </c>
      <c r="AV17" s="246">
        <v>0.08</v>
      </c>
      <c r="AW17" s="246">
        <v>9.5100000000000004E-2</v>
      </c>
    </row>
    <row r="18" spans="6:49" x14ac:dyDescent="0.2">
      <c r="F18" s="319" t="s">
        <v>1537</v>
      </c>
      <c r="G18" s="319"/>
      <c r="H18" s="319"/>
      <c r="I18" s="319"/>
      <c r="J18" s="319"/>
      <c r="K18" s="319"/>
      <c r="P18" s="319" t="s">
        <v>1533</v>
      </c>
      <c r="Q18" s="319"/>
      <c r="R18" s="319"/>
      <c r="S18" s="319"/>
      <c r="T18" s="319"/>
      <c r="U18" s="319"/>
      <c r="Z18" s="319" t="s">
        <v>1525</v>
      </c>
      <c r="AA18" s="319"/>
      <c r="AB18" s="319"/>
      <c r="AC18" s="319"/>
      <c r="AD18" s="319"/>
      <c r="AE18" s="319"/>
      <c r="AI18" s="180" t="s">
        <v>1536</v>
      </c>
      <c r="AL18" s="246">
        <v>0.22800000000000001</v>
      </c>
      <c r="AM18" s="246">
        <v>0.3095</v>
      </c>
      <c r="AN18" s="246">
        <v>0.04</v>
      </c>
      <c r="AO18" s="246">
        <v>7.85E-2</v>
      </c>
      <c r="AP18" s="246">
        <v>9.4000000000000004E-3</v>
      </c>
      <c r="AQ18" s="246">
        <v>1.3299999999999999E-2</v>
      </c>
      <c r="AR18" s="246">
        <v>1.46E-2</v>
      </c>
      <c r="AS18" s="246">
        <v>3.1600000000000003E-2</v>
      </c>
      <c r="AT18" s="246">
        <v>8.0999999999999996E-3</v>
      </c>
      <c r="AU18" s="246">
        <v>1.9900000000000001E-2</v>
      </c>
      <c r="AV18" s="246">
        <v>7.1400000000000005E-2</v>
      </c>
      <c r="AW18" s="246">
        <v>0.1043</v>
      </c>
    </row>
    <row r="19" spans="6:49" x14ac:dyDescent="0.2">
      <c r="L19" s="241" t="s">
        <v>1535</v>
      </c>
      <c r="M19" s="247" t="s">
        <v>1534</v>
      </c>
      <c r="N19" s="247"/>
      <c r="O19" s="245"/>
      <c r="V19" s="241" t="s">
        <v>1535</v>
      </c>
      <c r="W19" s="247" t="s">
        <v>1534</v>
      </c>
      <c r="X19" s="247"/>
      <c r="Y19" s="245"/>
      <c r="AF19" s="241" t="s">
        <v>1535</v>
      </c>
      <c r="AG19" s="247" t="s">
        <v>1534</v>
      </c>
      <c r="AH19" s="247"/>
      <c r="AI19" s="180" t="s">
        <v>1533</v>
      </c>
      <c r="AL19" s="246">
        <v>0.111</v>
      </c>
      <c r="AM19" s="246">
        <v>0.16800000000000001</v>
      </c>
      <c r="AN19" s="246">
        <v>1.4999999999999999E-2</v>
      </c>
      <c r="AO19" s="246">
        <v>4.4900000000000002E-2</v>
      </c>
      <c r="AP19" s="246">
        <v>8.5000000000000006E-3</v>
      </c>
      <c r="AQ19" s="246">
        <v>1.11E-2</v>
      </c>
      <c r="AR19" s="246">
        <v>5.5999999999999999E-3</v>
      </c>
      <c r="AS19" s="246">
        <v>8.8999999999999999E-3</v>
      </c>
      <c r="AT19" s="246">
        <v>3.0000000000000001E-3</v>
      </c>
      <c r="AU19" s="246">
        <v>8.2000000000000007E-3</v>
      </c>
      <c r="AV19" s="246">
        <v>3.5000000000000003E-2</v>
      </c>
      <c r="AW19" s="246">
        <v>6.2199999999999998E-2</v>
      </c>
    </row>
    <row r="20" spans="6:49" x14ac:dyDescent="0.2">
      <c r="F20" s="244" t="s">
        <v>1531</v>
      </c>
      <c r="G20" s="243" t="s">
        <v>1532</v>
      </c>
      <c r="H20" s="243"/>
      <c r="I20" s="243"/>
      <c r="J20" s="242" t="s">
        <v>1530</v>
      </c>
      <c r="K20" s="242" t="s">
        <v>1529</v>
      </c>
      <c r="L20" s="241" t="s">
        <v>1528</v>
      </c>
      <c r="M20" s="240" t="s">
        <v>1527</v>
      </c>
      <c r="N20" s="240" t="s">
        <v>1526</v>
      </c>
      <c r="O20" s="245"/>
      <c r="P20" s="244" t="s">
        <v>1531</v>
      </c>
      <c r="Q20" s="243"/>
      <c r="R20" s="243"/>
      <c r="S20" s="243"/>
      <c r="T20" s="242" t="s">
        <v>1530</v>
      </c>
      <c r="U20" s="242" t="s">
        <v>1529</v>
      </c>
      <c r="V20" s="241" t="s">
        <v>1528</v>
      </c>
      <c r="W20" s="240" t="s">
        <v>1527</v>
      </c>
      <c r="X20" s="240" t="s">
        <v>1526</v>
      </c>
      <c r="Y20" s="245"/>
      <c r="Z20" s="244" t="s">
        <v>1531</v>
      </c>
      <c r="AA20" s="243"/>
      <c r="AB20" s="243"/>
      <c r="AC20" s="243"/>
      <c r="AD20" s="242" t="s">
        <v>1530</v>
      </c>
      <c r="AE20" s="242" t="s">
        <v>1529</v>
      </c>
      <c r="AF20" s="241" t="s">
        <v>1528</v>
      </c>
      <c r="AG20" s="240" t="s">
        <v>1527</v>
      </c>
      <c r="AH20" s="240" t="s">
        <v>1526</v>
      </c>
      <c r="AI20" s="180" t="s">
        <v>1525</v>
      </c>
      <c r="AL20" s="239">
        <v>0</v>
      </c>
      <c r="AM20" s="239">
        <v>0</v>
      </c>
      <c r="AN20" s="239">
        <v>0</v>
      </c>
      <c r="AO20" s="239">
        <v>0</v>
      </c>
      <c r="AP20" s="239">
        <v>0</v>
      </c>
      <c r="AQ20" s="239">
        <v>0</v>
      </c>
      <c r="AR20" s="239">
        <v>0</v>
      </c>
      <c r="AS20" s="239">
        <v>0</v>
      </c>
      <c r="AT20" s="239">
        <v>0</v>
      </c>
      <c r="AU20" s="239">
        <v>0</v>
      </c>
      <c r="AV20" s="239">
        <v>0</v>
      </c>
      <c r="AW20" s="239">
        <v>0</v>
      </c>
    </row>
    <row r="21" spans="6:49" x14ac:dyDescent="0.2">
      <c r="F21" s="213" t="s">
        <v>1524</v>
      </c>
      <c r="G21" s="211"/>
      <c r="H21" s="211"/>
      <c r="I21" s="211"/>
      <c r="J21" s="209" t="s">
        <v>1523</v>
      </c>
      <c r="K21" s="238">
        <v>0.03</v>
      </c>
      <c r="L21" s="200" t="str">
        <f>IF(OR(K21&lt;M21,K21&gt;N21),"NÃO","SIM")</f>
        <v>SIM</v>
      </c>
      <c r="M21" s="237">
        <f>$AN$10</f>
        <v>0.03</v>
      </c>
      <c r="N21" s="236">
        <f>$AO$10</f>
        <v>5.5E-2</v>
      </c>
      <c r="O21" s="204"/>
      <c r="P21" s="213" t="s">
        <v>1524</v>
      </c>
      <c r="Q21" s="211"/>
      <c r="R21" s="211"/>
      <c r="S21" s="211"/>
      <c r="T21" s="209" t="s">
        <v>1523</v>
      </c>
      <c r="U21" s="238"/>
      <c r="V21" s="200" t="str">
        <f>IF(OR(U21&lt;W21,U21&gt;X21),"NÃO","SIM")</f>
        <v>NÃO</v>
      </c>
      <c r="W21" s="237">
        <f>$AN$11</f>
        <v>1.4999999999999999E-2</v>
      </c>
      <c r="X21" s="236">
        <f>$AO$11</f>
        <v>4.4900000000000002E-2</v>
      </c>
      <c r="Y21" s="204"/>
      <c r="Z21" s="213" t="s">
        <v>1524</v>
      </c>
      <c r="AA21" s="211"/>
      <c r="AB21" s="211"/>
      <c r="AC21" s="211"/>
      <c r="AD21" s="209" t="s">
        <v>1523</v>
      </c>
      <c r="AE21" s="238"/>
      <c r="AF21" s="200" t="str">
        <f>IF(OR(AE21&lt;AG21,AE21&gt;AH21),"NÃO","SIM")</f>
        <v>SIM</v>
      </c>
      <c r="AG21" s="237">
        <f>$AN$12</f>
        <v>0</v>
      </c>
      <c r="AH21" s="236">
        <f>$AO$12</f>
        <v>0</v>
      </c>
      <c r="AL21" s="180" t="s">
        <v>1522</v>
      </c>
    </row>
    <row r="22" spans="6:49" x14ac:dyDescent="0.2">
      <c r="F22" s="231" t="s">
        <v>1521</v>
      </c>
      <c r="G22" s="219"/>
      <c r="H22" s="219"/>
      <c r="I22" s="219"/>
      <c r="J22" s="225" t="s">
        <v>1520</v>
      </c>
      <c r="K22" s="230">
        <v>8.0000000000000002E-3</v>
      </c>
      <c r="L22" s="200" t="str">
        <f>IF(OR(K22&lt;M22,K22&gt;N22),"NÃO","SIM")</f>
        <v>SIM</v>
      </c>
      <c r="M22" s="235">
        <f>$AT$10</f>
        <v>8.0000000000000002E-3</v>
      </c>
      <c r="N22" s="234">
        <f>$AU$10</f>
        <v>0.01</v>
      </c>
      <c r="O22" s="204"/>
      <c r="P22" s="231" t="s">
        <v>1521</v>
      </c>
      <c r="Q22" s="219"/>
      <c r="R22" s="219"/>
      <c r="S22" s="219"/>
      <c r="T22" s="225" t="s">
        <v>1520</v>
      </c>
      <c r="U22" s="230"/>
      <c r="V22" s="200" t="str">
        <f>IF(OR(U22&lt;W22,U22&gt;X22),"NÃO","SIM")</f>
        <v>NÃO</v>
      </c>
      <c r="W22" s="235">
        <f>$AT$11</f>
        <v>3.0000000000000001E-3</v>
      </c>
      <c r="X22" s="234">
        <f>$AU$11</f>
        <v>8.2000000000000007E-3</v>
      </c>
      <c r="Y22" s="204"/>
      <c r="Z22" s="231" t="s">
        <v>1521</v>
      </c>
      <c r="AA22" s="219"/>
      <c r="AB22" s="219"/>
      <c r="AC22" s="219"/>
      <c r="AD22" s="225" t="s">
        <v>1520</v>
      </c>
      <c r="AE22" s="230"/>
      <c r="AF22" s="200" t="str">
        <f>IF(OR(AE22&lt;AG22,AE22&gt;AH22),"NÃO","SIM")</f>
        <v>SIM</v>
      </c>
      <c r="AG22" s="233">
        <f>$AT$12</f>
        <v>0</v>
      </c>
      <c r="AH22" s="232">
        <f>$AU$12</f>
        <v>0</v>
      </c>
    </row>
    <row r="23" spans="6:49" x14ac:dyDescent="0.2">
      <c r="F23" s="231" t="s">
        <v>1519</v>
      </c>
      <c r="G23" s="219"/>
      <c r="H23" s="219"/>
      <c r="I23" s="219"/>
      <c r="J23" s="225" t="s">
        <v>1518</v>
      </c>
      <c r="K23" s="230">
        <v>9.7000000000000003E-3</v>
      </c>
      <c r="L23" s="200" t="str">
        <f>IF(OR(K23&lt;M23,K23&gt;N23),"NÃO","SIM")</f>
        <v>SIM</v>
      </c>
      <c r="M23" s="235">
        <f>$AR$10</f>
        <v>9.7000000000000003E-3</v>
      </c>
      <c r="N23" s="234">
        <f>$AS$10</f>
        <v>1.2699999999999999E-2</v>
      </c>
      <c r="O23" s="204"/>
      <c r="P23" s="231" t="s">
        <v>1519</v>
      </c>
      <c r="Q23" s="219"/>
      <c r="R23" s="219"/>
      <c r="S23" s="219"/>
      <c r="T23" s="225" t="s">
        <v>1518</v>
      </c>
      <c r="U23" s="230"/>
      <c r="V23" s="200" t="str">
        <f>IF(OR(U23&lt;W23,U23&gt;X23),"NÃO","SIM")</f>
        <v>NÃO</v>
      </c>
      <c r="W23" s="229">
        <f>$AR$11</f>
        <v>5.5999999999999999E-3</v>
      </c>
      <c r="X23" s="228">
        <f>$AS$11</f>
        <v>8.8999999999999999E-3</v>
      </c>
      <c r="Y23" s="204"/>
      <c r="Z23" s="231" t="s">
        <v>1519</v>
      </c>
      <c r="AA23" s="219"/>
      <c r="AB23" s="219"/>
      <c r="AC23" s="219"/>
      <c r="AD23" s="225" t="s">
        <v>1518</v>
      </c>
      <c r="AE23" s="230"/>
      <c r="AF23" s="200" t="str">
        <f>IF(OR(AE23&lt;AG23,AE23&gt;AH23),"NÃO","SIM")</f>
        <v>SIM</v>
      </c>
      <c r="AG23" s="235">
        <f>$AR$12</f>
        <v>0</v>
      </c>
      <c r="AH23" s="234">
        <f>$AS$12</f>
        <v>0</v>
      </c>
    </row>
    <row r="24" spans="6:49" x14ac:dyDescent="0.2">
      <c r="F24" s="231" t="s">
        <v>1517</v>
      </c>
      <c r="G24" s="219"/>
      <c r="H24" s="219"/>
      <c r="I24" s="219"/>
      <c r="J24" s="225" t="s">
        <v>1516</v>
      </c>
      <c r="K24" s="230">
        <v>5.8999999999999999E-3</v>
      </c>
      <c r="L24" s="200" t="str">
        <f>IF(OR(K24&lt;M24,K24&gt;N24),"NÃO","SIM")</f>
        <v>SIM</v>
      </c>
      <c r="M24" s="235">
        <f>$AP$10</f>
        <v>5.8999999999999999E-3</v>
      </c>
      <c r="N24" s="234">
        <f>$AQ$10</f>
        <v>1.3899999999999999E-2</v>
      </c>
      <c r="O24" s="204"/>
      <c r="P24" s="231" t="s">
        <v>1517</v>
      </c>
      <c r="Q24" s="219"/>
      <c r="R24" s="219"/>
      <c r="S24" s="219"/>
      <c r="T24" s="225" t="s">
        <v>1516</v>
      </c>
      <c r="U24" s="230"/>
      <c r="V24" s="200" t="str">
        <f>IF(OR(U24&lt;W24,U24&gt;X24),"NÃO","SIM")</f>
        <v>NÃO</v>
      </c>
      <c r="W24" s="233">
        <f>$AP$11</f>
        <v>8.5000000000000006E-3</v>
      </c>
      <c r="X24" s="232">
        <f>$AQ$11</f>
        <v>1.11E-2</v>
      </c>
      <c r="Y24" s="204"/>
      <c r="Z24" s="231" t="s">
        <v>1517</v>
      </c>
      <c r="AA24" s="219"/>
      <c r="AB24" s="219"/>
      <c r="AC24" s="219"/>
      <c r="AD24" s="225" t="s">
        <v>1516</v>
      </c>
      <c r="AE24" s="230"/>
      <c r="AF24" s="200" t="str">
        <f>IF(OR(AE24&lt;AG24,AE24&gt;AH24),"NÃO","SIM")</f>
        <v>SIM</v>
      </c>
      <c r="AG24" s="229">
        <f>$AP$12</f>
        <v>0</v>
      </c>
      <c r="AH24" s="228">
        <f>$AQ$12</f>
        <v>0</v>
      </c>
    </row>
    <row r="25" spans="6:49" x14ac:dyDescent="0.2">
      <c r="F25" s="222" t="s">
        <v>1515</v>
      </c>
      <c r="G25" s="187"/>
      <c r="H25" s="187"/>
      <c r="I25" s="187"/>
      <c r="J25" s="225" t="s">
        <v>1431</v>
      </c>
      <c r="K25" s="221">
        <v>6.1600000000000002E-2</v>
      </c>
      <c r="L25" s="200" t="str">
        <f>IF(OR(K25&lt;M25,K25&gt;N25),"NÃO","SIM")</f>
        <v>SIM</v>
      </c>
      <c r="M25" s="227">
        <f>$AV$10</f>
        <v>6.1600000000000002E-2</v>
      </c>
      <c r="N25" s="226">
        <f>$AW$10</f>
        <v>8.9599999999999999E-2</v>
      </c>
      <c r="O25" s="204"/>
      <c r="P25" s="222" t="s">
        <v>1515</v>
      </c>
      <c r="Q25" s="187"/>
      <c r="R25" s="187"/>
      <c r="S25" s="187"/>
      <c r="T25" s="225" t="s">
        <v>1431</v>
      </c>
      <c r="U25" s="221"/>
      <c r="V25" s="200" t="str">
        <f>IF(OR(U25&lt;W25,U25&gt;X25),"NÃO","SIM")</f>
        <v>NÃO</v>
      </c>
      <c r="W25" s="227">
        <f>$AV$11</f>
        <v>3.5000000000000003E-2</v>
      </c>
      <c r="X25" s="226">
        <f>$AW$11</f>
        <v>6.2199999999999998E-2</v>
      </c>
      <c r="Y25" s="204"/>
      <c r="Z25" s="222" t="s">
        <v>1515</v>
      </c>
      <c r="AA25" s="187"/>
      <c r="AB25" s="187"/>
      <c r="AC25" s="187"/>
      <c r="AD25" s="225" t="s">
        <v>1431</v>
      </c>
      <c r="AE25" s="221"/>
      <c r="AF25" s="200" t="str">
        <f>IF(OR(AE25&lt;AG25,AE25&gt;AH25),"NÃO","SIM")</f>
        <v>SIM</v>
      </c>
      <c r="AG25" s="224">
        <f>$AV$12</f>
        <v>0</v>
      </c>
      <c r="AH25" s="223">
        <f>$AW$12</f>
        <v>0</v>
      </c>
    </row>
    <row r="26" spans="6:49" x14ac:dyDescent="0.2">
      <c r="F26" s="222" t="s">
        <v>1514</v>
      </c>
      <c r="G26" s="220" t="s">
        <v>1513</v>
      </c>
      <c r="H26" s="219"/>
      <c r="I26" s="210"/>
      <c r="J26" s="214" t="s">
        <v>1512</v>
      </c>
      <c r="K26" s="221">
        <v>6.4999999999999997E-3</v>
      </c>
      <c r="L26" s="200"/>
      <c r="M26" s="305" t="s">
        <v>1511</v>
      </c>
      <c r="N26" s="306"/>
      <c r="O26" s="204"/>
      <c r="P26" s="222" t="s">
        <v>1514</v>
      </c>
      <c r="Q26" s="220" t="s">
        <v>1513</v>
      </c>
      <c r="R26" s="219"/>
      <c r="S26" s="210"/>
      <c r="T26" s="214" t="s">
        <v>1512</v>
      </c>
      <c r="U26" s="221"/>
      <c r="V26" s="200"/>
      <c r="W26" s="305" t="s">
        <v>1511</v>
      </c>
      <c r="X26" s="306"/>
      <c r="Y26" s="204"/>
      <c r="Z26" s="222" t="s">
        <v>1514</v>
      </c>
      <c r="AA26" s="220" t="s">
        <v>1513</v>
      </c>
      <c r="AB26" s="219"/>
      <c r="AC26" s="210"/>
      <c r="AD26" s="214" t="s">
        <v>1512</v>
      </c>
      <c r="AE26" s="221"/>
      <c r="AF26" s="200"/>
      <c r="AG26" s="305" t="s">
        <v>1511</v>
      </c>
      <c r="AH26" s="306"/>
    </row>
    <row r="27" spans="6:49" x14ac:dyDescent="0.2">
      <c r="F27" s="217"/>
      <c r="G27" s="220" t="s">
        <v>1510</v>
      </c>
      <c r="H27" s="219"/>
      <c r="I27" s="210"/>
      <c r="J27" s="214"/>
      <c r="K27" s="221">
        <v>0.03</v>
      </c>
      <c r="L27" s="200"/>
      <c r="M27" s="307"/>
      <c r="N27" s="308"/>
      <c r="O27" s="204"/>
      <c r="P27" s="217"/>
      <c r="Q27" s="220" t="s">
        <v>1510</v>
      </c>
      <c r="R27" s="219"/>
      <c r="S27" s="210"/>
      <c r="T27" s="214"/>
      <c r="U27" s="221"/>
      <c r="V27" s="200"/>
      <c r="W27" s="307"/>
      <c r="X27" s="308"/>
      <c r="Y27" s="204"/>
      <c r="Z27" s="217"/>
      <c r="AA27" s="220" t="s">
        <v>1510</v>
      </c>
      <c r="AB27" s="219"/>
      <c r="AC27" s="210"/>
      <c r="AD27" s="214"/>
      <c r="AE27" s="221"/>
      <c r="AF27" s="200"/>
      <c r="AG27" s="307"/>
      <c r="AH27" s="308"/>
    </row>
    <row r="28" spans="6:49" x14ac:dyDescent="0.2">
      <c r="F28" s="217"/>
      <c r="G28" s="220" t="s">
        <v>1509</v>
      </c>
      <c r="H28" s="219"/>
      <c r="I28" s="210"/>
      <c r="J28" s="214"/>
      <c r="K28" s="218">
        <f>IF(F18=" - Fornecimento de Materiais e Equipamentos (Aquisição direta)",0,ROUND(K37*J38,4))</f>
        <v>0.05</v>
      </c>
      <c r="L28" s="200"/>
      <c r="M28" s="307"/>
      <c r="N28" s="308"/>
      <c r="O28" s="204"/>
      <c r="P28" s="217"/>
      <c r="Q28" s="220" t="s">
        <v>1509</v>
      </c>
      <c r="R28" s="219"/>
      <c r="S28" s="210"/>
      <c r="T28" s="214"/>
      <c r="U28" s="218">
        <f>IF(P18=" - Fornecimento de Materiais e Equipamentos (Aquisição direta)",0,ROUND(U37*T38,4))</f>
        <v>0</v>
      </c>
      <c r="V28" s="200"/>
      <c r="W28" s="307"/>
      <c r="X28" s="308"/>
      <c r="Y28" s="204"/>
      <c r="Z28" s="217"/>
      <c r="AA28" s="220" t="s">
        <v>1509</v>
      </c>
      <c r="AB28" s="219"/>
      <c r="AC28" s="210"/>
      <c r="AD28" s="214"/>
      <c r="AE28" s="218">
        <f>IF(Z18=" - Fornecimento de Materiais e Equipamentos (Aquisição direta)",0,ROUND(AE37*AD38,4))</f>
        <v>0</v>
      </c>
      <c r="AF28" s="200"/>
      <c r="AG28" s="307"/>
      <c r="AH28" s="308"/>
    </row>
    <row r="29" spans="6:49" x14ac:dyDescent="0.2">
      <c r="F29" s="217"/>
      <c r="G29" s="216" t="s">
        <v>1508</v>
      </c>
      <c r="H29" s="178" t="str">
        <f>[1]Dados!G14</f>
        <v>NÃO DESONERADO</v>
      </c>
      <c r="I29" s="215"/>
      <c r="J29" s="214"/>
      <c r="K29" s="208">
        <v>4.4999999999999998E-2</v>
      </c>
      <c r="L29" s="200"/>
      <c r="M29" s="309"/>
      <c r="N29" s="310"/>
      <c r="O29" s="204"/>
      <c r="P29" s="213"/>
      <c r="Q29" s="212" t="s">
        <v>1508</v>
      </c>
      <c r="R29" s="211"/>
      <c r="S29" s="210"/>
      <c r="T29" s="209"/>
      <c r="U29" s="208">
        <f>IF([1]Dados!$G$14="SELECIONAR","Ver DADOS",IF(P18=" - Fornecimento de Materiais e Equipamentos (Aquisição direta)",0,IF([1]Dados!$G$14="não desonerado",0%,4.5%)))</f>
        <v>0</v>
      </c>
      <c r="V29" s="200"/>
      <c r="W29" s="309"/>
      <c r="X29" s="310"/>
      <c r="Y29" s="204"/>
      <c r="Z29" s="213"/>
      <c r="AA29" s="212" t="s">
        <v>1508</v>
      </c>
      <c r="AB29" s="211"/>
      <c r="AC29" s="210"/>
      <c r="AD29" s="209"/>
      <c r="AE29" s="208">
        <f>IF([1]Dados!$G$14="SELECIONAR","Ver DADOS",IF(Z18=" - Fornecimento de Materiais e Equipamentos (Aquisição direta)",0,IF([1]Dados!$G$14="não desonerado",0%,4.5%)))</f>
        <v>0</v>
      </c>
      <c r="AF29" s="200"/>
      <c r="AG29" s="309"/>
      <c r="AH29" s="310"/>
    </row>
    <row r="30" spans="6:49" x14ac:dyDescent="0.2">
      <c r="F30" s="207" t="s">
        <v>1507</v>
      </c>
      <c r="G30" s="207"/>
      <c r="H30" s="207"/>
      <c r="I30" s="207"/>
      <c r="J30" s="207"/>
      <c r="K30" s="206">
        <f>IF(F18=" - Fornecimento de Materiais e Equipamentos (Aquisição direta)",0,ROUND((((1+SUM(K$21:K$23))*(1+K$24)*(1+K$25))/(1-SUM(K$26:K$28)))-1,4))</f>
        <v>0.22470000000000001</v>
      </c>
      <c r="L30" s="200" t="str">
        <f>IF(OR(K30&lt;M30,K30&gt;N30),"NÃO","SIM")</f>
        <v>SIM</v>
      </c>
      <c r="M30" s="205">
        <f>$AL$10</f>
        <v>0.2034</v>
      </c>
      <c r="N30" s="205">
        <f>$AM$10</f>
        <v>0.25</v>
      </c>
      <c r="P30" s="207" t="s">
        <v>1507</v>
      </c>
      <c r="Q30" s="207"/>
      <c r="R30" s="207"/>
      <c r="S30" s="207"/>
      <c r="T30" s="207"/>
      <c r="U30" s="206">
        <f>IF(P18=" - Fornecimento de Materiais e Equipamentos (Aquisição direta)",0,ROUND((((1+SUM(U$21:U$23))*(1+U$24)*(1+U$25))/(1-SUM(U$26:U$28)))-1,4))</f>
        <v>0</v>
      </c>
      <c r="V30" s="200" t="str">
        <f>IF(OR(U30&lt;W30,U30&gt;X30),"NÃO","SIM")</f>
        <v>NÃO</v>
      </c>
      <c r="W30" s="205">
        <f>$AL$11</f>
        <v>0.111</v>
      </c>
      <c r="X30" s="205">
        <f>$AM$11</f>
        <v>0.16800000000000001</v>
      </c>
      <c r="Z30" s="207" t="s">
        <v>1507</v>
      </c>
      <c r="AA30" s="207"/>
      <c r="AB30" s="207"/>
      <c r="AC30" s="207"/>
      <c r="AD30" s="207"/>
      <c r="AE30" s="206">
        <f>IF(Z18=" - Fornecimento de Materiais e Equipamentos (Aquisição direta)",0,ROUND((((1+SUM(AE$21:AE$23))*(1+AE$24)*(1+AE$25))/(1-SUM(AE$26:AE$28)))-1,4))</f>
        <v>0</v>
      </c>
      <c r="AF30" s="200" t="str">
        <f>IF(OR(AE30&lt;AG30,AE30&gt;AH30),"NÃO","SIM")</f>
        <v>SIM</v>
      </c>
      <c r="AG30" s="205">
        <f>$AL$12</f>
        <v>0</v>
      </c>
      <c r="AH30" s="205">
        <f>$AM$12</f>
        <v>0</v>
      </c>
    </row>
    <row r="31" spans="6:49" ht="12.75" customHeight="1" x14ac:dyDescent="0.2">
      <c r="F31" s="203" t="s">
        <v>1506</v>
      </c>
      <c r="G31" s="202"/>
      <c r="H31" s="202"/>
      <c r="I31" s="202"/>
      <c r="J31" s="202"/>
      <c r="K31" s="201">
        <f>IF(F18=" - Fornecimento de Materiais e Equipamentos (Aquisição direta)",0,ROUND((((1+SUM(K$21:K$23))*(1+K$24)*(1+K$25))/(1-SUM(K$26:K$29)))-1,4))</f>
        <v>0.28820000000000001</v>
      </c>
      <c r="L31" s="200" t="str">
        <f>IF(F18=" - Fornecimento de Materiais e Equipamentos (Aquisição direta)","SIM",IF(OR(AJ10&lt;$AL$10,AJ10&gt;$AM$10),"NÃO","SIM"))</f>
        <v>SIM</v>
      </c>
      <c r="M31" s="199"/>
      <c r="N31" s="199"/>
      <c r="O31" s="204"/>
      <c r="P31" s="203" t="s">
        <v>1506</v>
      </c>
      <c r="Q31" s="202"/>
      <c r="R31" s="202"/>
      <c r="S31" s="202"/>
      <c r="T31" s="202"/>
      <c r="U31" s="201">
        <f>IF(P18=" - Fornecimento de Materiais e Equipamentos (Aquisição direta)",0,ROUND((((1+SUM(U$21:U$23))*(1+U$24)*(1+U$25))/(1-SUM(U$26:U$29)))-1,4))</f>
        <v>0</v>
      </c>
      <c r="V31" s="200" t="str">
        <f>IF(P18=" - Fornecimento de Materiais e Equipamentos (Aquisição direta)","SIM",IF(OR(AJ11&lt;$AL$11,AJ11&gt;$AM$11),"NÃO","SIM"))</f>
        <v>NÃO</v>
      </c>
      <c r="W31" s="199"/>
      <c r="X31" s="199"/>
      <c r="Y31" s="204"/>
      <c r="Z31" s="203" t="s">
        <v>1506</v>
      </c>
      <c r="AA31" s="202"/>
      <c r="AB31" s="202"/>
      <c r="AC31" s="202"/>
      <c r="AD31" s="202"/>
      <c r="AE31" s="201">
        <f>IF(Z18=" - Fornecimento de Materiais e Equipamentos (Aquisição direta)",0,ROUND((((1+SUM(AE$21:AE$23))*(1+AE$24)*(1+AE$25))/(1-SUM(AE$26:AE$29)))-1,4))</f>
        <v>0</v>
      </c>
      <c r="AF31" s="200" t="str">
        <f>IF(Z18=" - Fornecimento de Materiais e Equipamentos (Aquisição direta)","SIM",IF(OR(AJ12&lt;$AL$12,AJ12&gt;$AM$12),"NÃO","SIM"))</f>
        <v>SIM</v>
      </c>
      <c r="AG31" s="199"/>
      <c r="AH31" s="199"/>
    </row>
    <row r="32" spans="6:49" x14ac:dyDescent="0.2">
      <c r="M32" s="199"/>
      <c r="N32" s="199"/>
      <c r="W32" s="199"/>
      <c r="X32" s="199"/>
      <c r="AG32" s="199"/>
      <c r="AH32" s="199"/>
    </row>
    <row r="33" spans="6:53" x14ac:dyDescent="0.2">
      <c r="F33" s="178" t="s">
        <v>1505</v>
      </c>
      <c r="M33" s="178"/>
      <c r="N33" s="178"/>
      <c r="P33" s="178" t="s">
        <v>1505</v>
      </c>
      <c r="Z33" s="178" t="s">
        <v>1505</v>
      </c>
    </row>
    <row r="35" spans="6:53" s="188" customFormat="1" ht="60" customHeight="1" x14ac:dyDescent="0.2">
      <c r="F35" s="302" t="str">
        <f>IF(AND(F18=" - Fornecimento de Materiais e Equipamentos (Aquisição direta)",K$31=0),"",IF(OR($AJ$10&lt;$AL$10,$AJ$10&gt;$AM$10)=TRUE(),$AL$21,""))</f>
        <v/>
      </c>
      <c r="G35" s="302"/>
      <c r="H35" s="302"/>
      <c r="I35" s="302"/>
      <c r="J35" s="302"/>
      <c r="K35" s="302"/>
      <c r="L35" s="181"/>
      <c r="M35" s="181"/>
      <c r="N35" s="181"/>
      <c r="P35" s="302" t="str">
        <f>IF(AND(P18=" - Fornecimento de Materiais e Equipamentos (Aquisição direta)",U$31=0),"",IF(OR($AJ$11&lt;$AL$11,$AJ$11&gt;$AM$11)=TRUE(),$AL$21,""))</f>
        <v>Observação: tendo em vista que a taxa de BDI indicada está fora dos patamares estipulados pelo Acórdão 2622/2013 - TCU, esta Planilha de Detalhamento de BDI será acompanhada de relatório técnico circunstanciado, justificando a adoção do percentual adotado para cada parcela do BDI, assinado pelo profissional responsável técnico do orçamento.</v>
      </c>
      <c r="Q35" s="302"/>
      <c r="R35" s="302"/>
      <c r="S35" s="302"/>
      <c r="T35" s="302"/>
      <c r="U35" s="302"/>
      <c r="Z35" s="302" t="str">
        <f>IF(AND(Z18=" - Fornecimento de Materiais e Equipamentos (Aquisição direta)",AE$31=0),"",IF(OR($AJ$12&lt;$AL$12,$AJ$12&gt;$AM$12)=TRUE(),$AL$21,""))</f>
        <v/>
      </c>
      <c r="AA35" s="302"/>
      <c r="AB35" s="302"/>
      <c r="AC35" s="302"/>
      <c r="AD35" s="302"/>
      <c r="AE35" s="302"/>
      <c r="AI35" s="190"/>
      <c r="AJ35" s="190"/>
      <c r="AK35" s="190"/>
      <c r="AL35" s="190"/>
      <c r="AM35" s="190"/>
      <c r="AN35" s="190"/>
      <c r="AO35" s="190"/>
      <c r="AP35" s="190"/>
      <c r="AQ35" s="190"/>
      <c r="AR35" s="190"/>
      <c r="AS35" s="190"/>
      <c r="AT35" s="190"/>
      <c r="AU35" s="190"/>
      <c r="AV35" s="190"/>
      <c r="AW35" s="190"/>
      <c r="AX35" s="190"/>
      <c r="AY35" s="190"/>
      <c r="AZ35" s="190"/>
      <c r="BA35" s="189"/>
    </row>
    <row r="36" spans="6:53" s="188" customFormat="1" x14ac:dyDescent="0.2">
      <c r="F36" s="194"/>
      <c r="G36" s="194"/>
      <c r="H36" s="194"/>
      <c r="I36" s="194"/>
      <c r="J36" s="194"/>
      <c r="K36" s="194"/>
      <c r="L36" s="181"/>
      <c r="M36" s="181"/>
      <c r="N36" s="181"/>
      <c r="P36" s="194"/>
      <c r="Q36" s="194"/>
      <c r="R36" s="194"/>
      <c r="S36" s="194"/>
      <c r="T36" s="194"/>
      <c r="U36" s="194"/>
      <c r="Z36" s="194"/>
      <c r="AA36" s="194"/>
      <c r="AB36" s="194"/>
      <c r="AC36" s="194"/>
      <c r="AD36" s="194"/>
      <c r="AE36" s="194"/>
      <c r="AI36" s="190"/>
      <c r="AJ36" s="190"/>
      <c r="AK36" s="190"/>
      <c r="AL36" s="190"/>
      <c r="AM36" s="190"/>
      <c r="AN36" s="190"/>
      <c r="AO36" s="190"/>
      <c r="AP36" s="190"/>
      <c r="AQ36" s="190"/>
      <c r="AR36" s="190"/>
      <c r="AS36" s="190"/>
      <c r="AT36" s="190"/>
      <c r="AU36" s="190"/>
      <c r="AV36" s="190"/>
      <c r="AW36" s="190"/>
      <c r="AX36" s="190"/>
      <c r="AY36" s="190"/>
      <c r="AZ36" s="190"/>
      <c r="BA36" s="189"/>
    </row>
    <row r="37" spans="6:53" s="188" customFormat="1" ht="12.75" customHeight="1" x14ac:dyDescent="0.2">
      <c r="F37" s="303" t="s">
        <v>1504</v>
      </c>
      <c r="G37" s="304"/>
      <c r="H37" s="304"/>
      <c r="I37" s="304"/>
      <c r="J37" s="304"/>
      <c r="K37" s="198">
        <v>1</v>
      </c>
      <c r="L37" s="181"/>
      <c r="M37" s="181"/>
      <c r="N37" s="181"/>
      <c r="P37" s="303" t="s">
        <v>1504</v>
      </c>
      <c r="Q37" s="304"/>
      <c r="R37" s="304"/>
      <c r="S37" s="304"/>
      <c r="T37" s="304"/>
      <c r="U37" s="198"/>
      <c r="Z37" s="303" t="s">
        <v>1504</v>
      </c>
      <c r="AA37" s="304"/>
      <c r="AB37" s="304"/>
      <c r="AC37" s="304"/>
      <c r="AD37" s="304"/>
      <c r="AE37" s="198"/>
      <c r="AI37" s="190"/>
      <c r="AJ37" s="190"/>
      <c r="AK37" s="190"/>
      <c r="AL37" s="190"/>
      <c r="AM37" s="190"/>
      <c r="AN37" s="190"/>
      <c r="AO37" s="190"/>
      <c r="AP37" s="190"/>
      <c r="AQ37" s="190"/>
      <c r="AR37" s="190"/>
      <c r="AS37" s="190"/>
      <c r="AT37" s="190"/>
      <c r="AU37" s="190"/>
      <c r="AV37" s="190"/>
      <c r="AW37" s="190"/>
      <c r="AX37" s="190"/>
      <c r="AY37" s="190"/>
      <c r="AZ37" s="190"/>
      <c r="BA37" s="189"/>
    </row>
    <row r="38" spans="6:53" s="188" customFormat="1" ht="12.75" customHeight="1" x14ac:dyDescent="0.2">
      <c r="F38" s="303" t="s">
        <v>1503</v>
      </c>
      <c r="G38" s="304"/>
      <c r="H38" s="304"/>
      <c r="I38" s="304"/>
      <c r="J38" s="198">
        <v>0.05</v>
      </c>
      <c r="K38" s="194"/>
      <c r="L38" s="181"/>
      <c r="M38" s="181"/>
      <c r="N38" s="181"/>
      <c r="P38" s="303" t="s">
        <v>1503</v>
      </c>
      <c r="Q38" s="304"/>
      <c r="R38" s="304"/>
      <c r="S38" s="304"/>
      <c r="T38" s="198"/>
      <c r="U38" s="194"/>
      <c r="Z38" s="303" t="s">
        <v>1503</v>
      </c>
      <c r="AA38" s="304"/>
      <c r="AB38" s="304"/>
      <c r="AC38" s="304"/>
      <c r="AD38" s="198"/>
      <c r="AE38" s="194"/>
      <c r="AI38" s="190"/>
      <c r="AJ38" s="190"/>
      <c r="AK38" s="190"/>
      <c r="AL38" s="190"/>
      <c r="AM38" s="190"/>
      <c r="AN38" s="190"/>
      <c r="AO38" s="190"/>
      <c r="AP38" s="190"/>
      <c r="AQ38" s="190"/>
      <c r="AR38" s="190"/>
      <c r="AS38" s="190"/>
      <c r="AT38" s="190"/>
      <c r="AU38" s="190"/>
      <c r="AV38" s="190"/>
      <c r="AW38" s="190"/>
      <c r="AX38" s="190"/>
      <c r="AY38" s="190"/>
      <c r="AZ38" s="190"/>
      <c r="BA38" s="189"/>
    </row>
    <row r="39" spans="6:53" s="188" customFormat="1" ht="12.75" customHeight="1" x14ac:dyDescent="0.2">
      <c r="F39" s="197"/>
      <c r="G39" s="196"/>
      <c r="H39" s="196"/>
      <c r="I39" s="196"/>
      <c r="J39" s="195"/>
      <c r="K39" s="194"/>
      <c r="L39" s="181"/>
      <c r="M39" s="181"/>
      <c r="N39" s="181"/>
      <c r="P39" s="197"/>
      <c r="Q39" s="196"/>
      <c r="R39" s="196"/>
      <c r="S39" s="196"/>
      <c r="T39" s="195"/>
      <c r="U39" s="194"/>
      <c r="Z39" s="197"/>
      <c r="AA39" s="196"/>
      <c r="AB39" s="196"/>
      <c r="AC39" s="196"/>
      <c r="AD39" s="195"/>
      <c r="AE39" s="194"/>
      <c r="AI39" s="190"/>
      <c r="AJ39" s="190"/>
      <c r="AK39" s="190"/>
      <c r="AL39" s="190"/>
      <c r="AM39" s="190"/>
      <c r="AN39" s="190"/>
      <c r="AO39" s="190"/>
      <c r="AP39" s="190"/>
      <c r="AQ39" s="190"/>
      <c r="AR39" s="190"/>
      <c r="AS39" s="190"/>
      <c r="AT39" s="190"/>
      <c r="AU39" s="190"/>
      <c r="AV39" s="190"/>
      <c r="AW39" s="190"/>
      <c r="AX39" s="190"/>
      <c r="AY39" s="190"/>
      <c r="AZ39" s="190"/>
      <c r="BA39" s="189"/>
    </row>
    <row r="40" spans="6:53" s="188" customFormat="1" ht="12.75" customHeight="1" x14ac:dyDescent="0.2">
      <c r="F40" s="300" t="s">
        <v>1502</v>
      </c>
      <c r="G40" s="301"/>
      <c r="H40" s="301"/>
      <c r="I40" s="301"/>
      <c r="J40" s="301"/>
      <c r="K40" s="301"/>
      <c r="L40" s="181"/>
      <c r="M40" s="181"/>
      <c r="N40" s="181"/>
      <c r="P40" s="300" t="s">
        <v>1502</v>
      </c>
      <c r="Q40" s="301"/>
      <c r="R40" s="301"/>
      <c r="S40" s="301"/>
      <c r="T40" s="301"/>
      <c r="U40" s="301"/>
      <c r="Z40" s="300" t="s">
        <v>1502</v>
      </c>
      <c r="AA40" s="301"/>
      <c r="AB40" s="301"/>
      <c r="AC40" s="301"/>
      <c r="AD40" s="301"/>
      <c r="AE40" s="301"/>
      <c r="AI40" s="190"/>
      <c r="AJ40" s="190"/>
      <c r="AK40" s="190"/>
      <c r="AL40" s="190"/>
      <c r="AM40" s="190"/>
      <c r="AN40" s="190"/>
      <c r="AO40" s="190"/>
      <c r="AP40" s="190"/>
      <c r="AQ40" s="190"/>
      <c r="AR40" s="190"/>
      <c r="AS40" s="190"/>
      <c r="AT40" s="190"/>
      <c r="AU40" s="190"/>
      <c r="AV40" s="190"/>
      <c r="AW40" s="190"/>
      <c r="AX40" s="190"/>
      <c r="AY40" s="190"/>
      <c r="AZ40" s="190"/>
      <c r="BA40" s="189"/>
    </row>
    <row r="41" spans="6:53" s="188" customFormat="1" ht="60" customHeight="1" x14ac:dyDescent="0.2">
      <c r="F41" s="193"/>
      <c r="G41" s="192"/>
      <c r="H41" s="191"/>
      <c r="I41" s="191"/>
      <c r="J41" s="191"/>
      <c r="K41" s="191"/>
      <c r="L41" s="181"/>
      <c r="M41" s="181"/>
      <c r="N41" s="181"/>
      <c r="P41" s="193"/>
      <c r="Q41" s="192"/>
      <c r="R41" s="191"/>
      <c r="S41" s="191"/>
      <c r="T41" s="191"/>
      <c r="U41" s="191"/>
      <c r="Z41" s="193"/>
      <c r="AA41" s="192"/>
      <c r="AB41" s="191"/>
      <c r="AC41" s="191"/>
      <c r="AD41" s="191"/>
      <c r="AE41" s="191"/>
      <c r="AI41" s="190"/>
      <c r="AJ41" s="190"/>
      <c r="AK41" s="190"/>
      <c r="AL41" s="190"/>
      <c r="AM41" s="190"/>
      <c r="AN41" s="190"/>
      <c r="AO41" s="190"/>
      <c r="AP41" s="190"/>
      <c r="AQ41" s="190"/>
      <c r="AR41" s="190"/>
      <c r="AS41" s="190"/>
      <c r="AT41" s="190"/>
      <c r="AU41" s="190"/>
      <c r="AV41" s="190"/>
      <c r="AW41" s="190"/>
      <c r="AX41" s="190"/>
      <c r="AY41" s="190"/>
      <c r="AZ41" s="190"/>
      <c r="BA41" s="189"/>
    </row>
    <row r="42" spans="6:53" x14ac:dyDescent="0.2">
      <c r="F42" s="178" t="s">
        <v>1501</v>
      </c>
      <c r="H42" s="187"/>
      <c r="I42" s="187"/>
      <c r="P42" s="178" t="s">
        <v>1501</v>
      </c>
      <c r="R42" s="187"/>
      <c r="S42" s="187"/>
      <c r="Z42" s="178" t="s">
        <v>1501</v>
      </c>
      <c r="AB42" s="187"/>
      <c r="AC42" s="187"/>
    </row>
    <row r="43" spans="6:53" ht="12.75" customHeight="1" x14ac:dyDescent="0.2">
      <c r="F43" s="317" t="str">
        <f>CONCATENATE("Nome: ",[1]Dados!$G$18)</f>
        <v>Nome: Silenio Martins Camargo</v>
      </c>
      <c r="G43" s="317"/>
      <c r="H43" s="317"/>
      <c r="I43" s="317"/>
      <c r="J43" s="186" t="s">
        <v>1500</v>
      </c>
      <c r="K43" s="185"/>
      <c r="P43" s="317" t="str">
        <f>CONCATENATE("Nome: ",[1]Dados!$G$18)</f>
        <v>Nome: Silenio Martins Camargo</v>
      </c>
      <c r="Q43" s="317"/>
      <c r="R43" s="317"/>
      <c r="S43" s="317"/>
      <c r="T43" s="186" t="s">
        <v>1500</v>
      </c>
      <c r="U43" s="185">
        <f>[1]Dados!$G$20</f>
        <v>45148</v>
      </c>
      <c r="Z43" s="317" t="str">
        <f>CONCATENATE("Nome: ",[1]Dados!$G$18)</f>
        <v>Nome: Silenio Martins Camargo</v>
      </c>
      <c r="AA43" s="317"/>
      <c r="AB43" s="317"/>
      <c r="AC43" s="317"/>
      <c r="AD43" s="186" t="s">
        <v>1500</v>
      </c>
      <c r="AE43" s="185">
        <f>[1]Dados!$G$20</f>
        <v>45148</v>
      </c>
    </row>
    <row r="44" spans="6:53" x14ac:dyDescent="0.2">
      <c r="F44" s="317" t="str">
        <f>CONCATENATE("CREA/CAU: ",[1]Dados!$G$19)</f>
        <v xml:space="preserve">CREA/CAU: A22573-8 </v>
      </c>
      <c r="G44" s="317"/>
      <c r="H44" s="317"/>
      <c r="I44" s="317"/>
      <c r="P44" s="317" t="str">
        <f>CONCATENATE("CREA/CAU: ",[1]Dados!$G$19)</f>
        <v xml:space="preserve">CREA/CAU: A22573-8 </v>
      </c>
      <c r="Q44" s="317"/>
      <c r="R44" s="317"/>
      <c r="S44" s="317"/>
      <c r="Z44" s="317" t="str">
        <f>CONCATENATE("CREA/CAU: ",[1]Dados!$G$19)</f>
        <v xml:space="preserve">CREA/CAU: A22573-8 </v>
      </c>
      <c r="AA44" s="317"/>
      <c r="AB44" s="317"/>
      <c r="AC44" s="317"/>
    </row>
    <row r="45" spans="6:53" ht="15" x14ac:dyDescent="0.25">
      <c r="G45" s="184"/>
      <c r="H45" s="183"/>
      <c r="I45" s="183"/>
      <c r="Q45" s="184"/>
      <c r="R45" s="183"/>
      <c r="S45" s="183"/>
      <c r="AA45" s="184"/>
      <c r="AB45" s="183"/>
      <c r="AC45" s="183"/>
    </row>
  </sheetData>
  <sheetProtection autoFilter="0"/>
  <dataConsolidate/>
  <mergeCells count="35">
    <mergeCell ref="G8:I8"/>
    <mergeCell ref="Q8:S8"/>
    <mergeCell ref="AA8:AC8"/>
    <mergeCell ref="F18:K18"/>
    <mergeCell ref="P18:U18"/>
    <mergeCell ref="Z18:AE18"/>
    <mergeCell ref="I15:K15"/>
    <mergeCell ref="F15:H15"/>
    <mergeCell ref="F44:I44"/>
    <mergeCell ref="P43:S43"/>
    <mergeCell ref="P44:S44"/>
    <mergeCell ref="Z43:AC43"/>
    <mergeCell ref="Z44:AC44"/>
    <mergeCell ref="F43:I43"/>
    <mergeCell ref="AG26:AH29"/>
    <mergeCell ref="Z38:AC38"/>
    <mergeCell ref="AC11:AE11"/>
    <mergeCell ref="AC12:AE12"/>
    <mergeCell ref="I11:K11"/>
    <mergeCell ref="I12:K12"/>
    <mergeCell ref="S11:U11"/>
    <mergeCell ref="S12:U12"/>
    <mergeCell ref="P35:U35"/>
    <mergeCell ref="P37:T37"/>
    <mergeCell ref="W26:X29"/>
    <mergeCell ref="M26:N29"/>
    <mergeCell ref="Z37:AD37"/>
    <mergeCell ref="F37:J37"/>
    <mergeCell ref="P38:S38"/>
    <mergeCell ref="F40:K40"/>
    <mergeCell ref="Z35:AE35"/>
    <mergeCell ref="F35:K35"/>
    <mergeCell ref="Z40:AE40"/>
    <mergeCell ref="F38:I38"/>
    <mergeCell ref="P40:U40"/>
  </mergeCells>
  <conditionalFormatting sqref="I14">
    <cfRule type="expression" dxfId="5" priority="5" stopIfTrue="1">
      <formula>OR($G14="M",$G14="A")</formula>
    </cfRule>
  </conditionalFormatting>
  <conditionalFormatting sqref="I15">
    <cfRule type="expression" dxfId="4" priority="6" stopIfTrue="1">
      <formula>OR($G12="M",$G12="A")</formula>
    </cfRule>
  </conditionalFormatting>
  <conditionalFormatting sqref="S14">
    <cfRule type="expression" dxfId="3" priority="3" stopIfTrue="1">
      <formula>OR($G14="M",$G14="A")</formula>
    </cfRule>
  </conditionalFormatting>
  <conditionalFormatting sqref="S15">
    <cfRule type="expression" dxfId="2" priority="4" stopIfTrue="1">
      <formula>OR($G12="M",$G12="A")</formula>
    </cfRule>
  </conditionalFormatting>
  <conditionalFormatting sqref="AC14">
    <cfRule type="expression" dxfId="1" priority="1" stopIfTrue="1">
      <formula>OR($G14="M",$G14="A")</formula>
    </cfRule>
  </conditionalFormatting>
  <conditionalFormatting sqref="AC15">
    <cfRule type="expression" dxfId="0" priority="2" stopIfTrue="1">
      <formula>OR($G12="M",$G12="A")</formula>
    </cfRule>
  </conditionalFormatting>
  <dataValidations count="2">
    <dataValidation type="list" allowBlank="1" showInputMessage="1" showErrorMessage="1" sqref="F18:K18 JB18:JG18 SX18:TC18 ACT18:ACY18 AMP18:AMU18 AWL18:AWQ18 BGH18:BGM18 BQD18:BQI18 BZZ18:CAE18 CJV18:CKA18 CTR18:CTW18 DDN18:DDS18 DNJ18:DNO18 DXF18:DXK18 EHB18:EHG18 EQX18:ERC18 FAT18:FAY18 FKP18:FKU18 FUL18:FUQ18 GEH18:GEM18 GOD18:GOI18 GXZ18:GYE18 HHV18:HIA18 HRR18:HRW18 IBN18:IBS18 ILJ18:ILO18 IVF18:IVK18 JFB18:JFG18 JOX18:JPC18 JYT18:JYY18 KIP18:KIU18 KSL18:KSQ18 LCH18:LCM18 LMD18:LMI18 LVZ18:LWE18 MFV18:MGA18 MPR18:MPW18 MZN18:MZS18 NJJ18:NJO18 NTF18:NTK18 ODB18:ODG18 OMX18:ONC18 OWT18:OWY18 PGP18:PGU18 PQL18:PQQ18 QAH18:QAM18 QKD18:QKI18 QTZ18:QUE18 RDV18:REA18 RNR18:RNW18 RXN18:RXS18 SHJ18:SHO18 SRF18:SRK18 TBB18:TBG18 TKX18:TLC18 TUT18:TUY18 UEP18:UEU18 UOL18:UOQ18 UYH18:UYM18 VID18:VII18 VRZ18:VSE18 WBV18:WCA18 WLR18:WLW18 WVN18:WVS18 F65554:K65554 JB65554:JG65554 SX65554:TC65554 ACT65554:ACY65554 AMP65554:AMU65554 AWL65554:AWQ65554 BGH65554:BGM65554 BQD65554:BQI65554 BZZ65554:CAE65554 CJV65554:CKA65554 CTR65554:CTW65554 DDN65554:DDS65554 DNJ65554:DNO65554 DXF65554:DXK65554 EHB65554:EHG65554 EQX65554:ERC65554 FAT65554:FAY65554 FKP65554:FKU65554 FUL65554:FUQ65554 GEH65554:GEM65554 GOD65554:GOI65554 GXZ65554:GYE65554 HHV65554:HIA65554 HRR65554:HRW65554 IBN65554:IBS65554 ILJ65554:ILO65554 IVF65554:IVK65554 JFB65554:JFG65554 JOX65554:JPC65554 JYT65554:JYY65554 KIP65554:KIU65554 KSL65554:KSQ65554 LCH65554:LCM65554 LMD65554:LMI65554 LVZ65554:LWE65554 MFV65554:MGA65554 MPR65554:MPW65554 MZN65554:MZS65554 NJJ65554:NJO65554 NTF65554:NTK65554 ODB65554:ODG65554 OMX65554:ONC65554 OWT65554:OWY65554 PGP65554:PGU65554 PQL65554:PQQ65554 QAH65554:QAM65554 QKD65554:QKI65554 QTZ65554:QUE65554 RDV65554:REA65554 RNR65554:RNW65554 RXN65554:RXS65554 SHJ65554:SHO65554 SRF65554:SRK65554 TBB65554:TBG65554 TKX65554:TLC65554 TUT65554:TUY65554 UEP65554:UEU65554 UOL65554:UOQ65554 UYH65554:UYM65554 VID65554:VII65554 VRZ65554:VSE65554 WBV65554:WCA65554 WLR65554:WLW65554 WVN65554:WVS65554 F131090:K131090 JB131090:JG131090 SX131090:TC131090 ACT131090:ACY131090 AMP131090:AMU131090 AWL131090:AWQ131090 BGH131090:BGM131090 BQD131090:BQI131090 BZZ131090:CAE131090 CJV131090:CKA131090 CTR131090:CTW131090 DDN131090:DDS131090 DNJ131090:DNO131090 DXF131090:DXK131090 EHB131090:EHG131090 EQX131090:ERC131090 FAT131090:FAY131090 FKP131090:FKU131090 FUL131090:FUQ131090 GEH131090:GEM131090 GOD131090:GOI131090 GXZ131090:GYE131090 HHV131090:HIA131090 HRR131090:HRW131090 IBN131090:IBS131090 ILJ131090:ILO131090 IVF131090:IVK131090 JFB131090:JFG131090 JOX131090:JPC131090 JYT131090:JYY131090 KIP131090:KIU131090 KSL131090:KSQ131090 LCH131090:LCM131090 LMD131090:LMI131090 LVZ131090:LWE131090 MFV131090:MGA131090 MPR131090:MPW131090 MZN131090:MZS131090 NJJ131090:NJO131090 NTF131090:NTK131090 ODB131090:ODG131090 OMX131090:ONC131090 OWT131090:OWY131090 PGP131090:PGU131090 PQL131090:PQQ131090 QAH131090:QAM131090 QKD131090:QKI131090 QTZ131090:QUE131090 RDV131090:REA131090 RNR131090:RNW131090 RXN131090:RXS131090 SHJ131090:SHO131090 SRF131090:SRK131090 TBB131090:TBG131090 TKX131090:TLC131090 TUT131090:TUY131090 UEP131090:UEU131090 UOL131090:UOQ131090 UYH131090:UYM131090 VID131090:VII131090 VRZ131090:VSE131090 WBV131090:WCA131090 WLR131090:WLW131090 WVN131090:WVS131090 F196626:K196626 JB196626:JG196626 SX196626:TC196626 ACT196626:ACY196626 AMP196626:AMU196626 AWL196626:AWQ196626 BGH196626:BGM196626 BQD196626:BQI196626 BZZ196626:CAE196626 CJV196626:CKA196626 CTR196626:CTW196626 DDN196626:DDS196626 DNJ196626:DNO196626 DXF196626:DXK196626 EHB196626:EHG196626 EQX196626:ERC196626 FAT196626:FAY196626 FKP196626:FKU196626 FUL196626:FUQ196626 GEH196626:GEM196626 GOD196626:GOI196626 GXZ196626:GYE196626 HHV196626:HIA196626 HRR196626:HRW196626 IBN196626:IBS196626 ILJ196626:ILO196626 IVF196626:IVK196626 JFB196626:JFG196626 JOX196626:JPC196626 JYT196626:JYY196626 KIP196626:KIU196626 KSL196626:KSQ196626 LCH196626:LCM196626 LMD196626:LMI196626 LVZ196626:LWE196626 MFV196626:MGA196626 MPR196626:MPW196626 MZN196626:MZS196626 NJJ196626:NJO196626 NTF196626:NTK196626 ODB196626:ODG196626 OMX196626:ONC196626 OWT196626:OWY196626 PGP196626:PGU196626 PQL196626:PQQ196626 QAH196626:QAM196626 QKD196626:QKI196626 QTZ196626:QUE196626 RDV196626:REA196626 RNR196626:RNW196626 RXN196626:RXS196626 SHJ196626:SHO196626 SRF196626:SRK196626 TBB196626:TBG196626 TKX196626:TLC196626 TUT196626:TUY196626 UEP196626:UEU196626 UOL196626:UOQ196626 UYH196626:UYM196626 VID196626:VII196626 VRZ196626:VSE196626 WBV196626:WCA196626 WLR196626:WLW196626 WVN196626:WVS196626 F262162:K262162 JB262162:JG262162 SX262162:TC262162 ACT262162:ACY262162 AMP262162:AMU262162 AWL262162:AWQ262162 BGH262162:BGM262162 BQD262162:BQI262162 BZZ262162:CAE262162 CJV262162:CKA262162 CTR262162:CTW262162 DDN262162:DDS262162 DNJ262162:DNO262162 DXF262162:DXK262162 EHB262162:EHG262162 EQX262162:ERC262162 FAT262162:FAY262162 FKP262162:FKU262162 FUL262162:FUQ262162 GEH262162:GEM262162 GOD262162:GOI262162 GXZ262162:GYE262162 HHV262162:HIA262162 HRR262162:HRW262162 IBN262162:IBS262162 ILJ262162:ILO262162 IVF262162:IVK262162 JFB262162:JFG262162 JOX262162:JPC262162 JYT262162:JYY262162 KIP262162:KIU262162 KSL262162:KSQ262162 LCH262162:LCM262162 LMD262162:LMI262162 LVZ262162:LWE262162 MFV262162:MGA262162 MPR262162:MPW262162 MZN262162:MZS262162 NJJ262162:NJO262162 NTF262162:NTK262162 ODB262162:ODG262162 OMX262162:ONC262162 OWT262162:OWY262162 PGP262162:PGU262162 PQL262162:PQQ262162 QAH262162:QAM262162 QKD262162:QKI262162 QTZ262162:QUE262162 RDV262162:REA262162 RNR262162:RNW262162 RXN262162:RXS262162 SHJ262162:SHO262162 SRF262162:SRK262162 TBB262162:TBG262162 TKX262162:TLC262162 TUT262162:TUY262162 UEP262162:UEU262162 UOL262162:UOQ262162 UYH262162:UYM262162 VID262162:VII262162 VRZ262162:VSE262162 WBV262162:WCA262162 WLR262162:WLW262162 WVN262162:WVS262162 F327698:K327698 JB327698:JG327698 SX327698:TC327698 ACT327698:ACY327698 AMP327698:AMU327698 AWL327698:AWQ327698 BGH327698:BGM327698 BQD327698:BQI327698 BZZ327698:CAE327698 CJV327698:CKA327698 CTR327698:CTW327698 DDN327698:DDS327698 DNJ327698:DNO327698 DXF327698:DXK327698 EHB327698:EHG327698 EQX327698:ERC327698 FAT327698:FAY327698 FKP327698:FKU327698 FUL327698:FUQ327698 GEH327698:GEM327698 GOD327698:GOI327698 GXZ327698:GYE327698 HHV327698:HIA327698 HRR327698:HRW327698 IBN327698:IBS327698 ILJ327698:ILO327698 IVF327698:IVK327698 JFB327698:JFG327698 JOX327698:JPC327698 JYT327698:JYY327698 KIP327698:KIU327698 KSL327698:KSQ327698 LCH327698:LCM327698 LMD327698:LMI327698 LVZ327698:LWE327698 MFV327698:MGA327698 MPR327698:MPW327698 MZN327698:MZS327698 NJJ327698:NJO327698 NTF327698:NTK327698 ODB327698:ODG327698 OMX327698:ONC327698 OWT327698:OWY327698 PGP327698:PGU327698 PQL327698:PQQ327698 QAH327698:QAM327698 QKD327698:QKI327698 QTZ327698:QUE327698 RDV327698:REA327698 RNR327698:RNW327698 RXN327698:RXS327698 SHJ327698:SHO327698 SRF327698:SRK327698 TBB327698:TBG327698 TKX327698:TLC327698 TUT327698:TUY327698 UEP327698:UEU327698 UOL327698:UOQ327698 UYH327698:UYM327698 VID327698:VII327698 VRZ327698:VSE327698 WBV327698:WCA327698 WLR327698:WLW327698 WVN327698:WVS327698 F393234:K393234 JB393234:JG393234 SX393234:TC393234 ACT393234:ACY393234 AMP393234:AMU393234 AWL393234:AWQ393234 BGH393234:BGM393234 BQD393234:BQI393234 BZZ393234:CAE393234 CJV393234:CKA393234 CTR393234:CTW393234 DDN393234:DDS393234 DNJ393234:DNO393234 DXF393234:DXK393234 EHB393234:EHG393234 EQX393234:ERC393234 FAT393234:FAY393234 FKP393234:FKU393234 FUL393234:FUQ393234 GEH393234:GEM393234 GOD393234:GOI393234 GXZ393234:GYE393234 HHV393234:HIA393234 HRR393234:HRW393234 IBN393234:IBS393234 ILJ393234:ILO393234 IVF393234:IVK393234 JFB393234:JFG393234 JOX393234:JPC393234 JYT393234:JYY393234 KIP393234:KIU393234 KSL393234:KSQ393234 LCH393234:LCM393234 LMD393234:LMI393234 LVZ393234:LWE393234 MFV393234:MGA393234 MPR393234:MPW393234 MZN393234:MZS393234 NJJ393234:NJO393234 NTF393234:NTK393234 ODB393234:ODG393234 OMX393234:ONC393234 OWT393234:OWY393234 PGP393234:PGU393234 PQL393234:PQQ393234 QAH393234:QAM393234 QKD393234:QKI393234 QTZ393234:QUE393234 RDV393234:REA393234 RNR393234:RNW393234 RXN393234:RXS393234 SHJ393234:SHO393234 SRF393234:SRK393234 TBB393234:TBG393234 TKX393234:TLC393234 TUT393234:TUY393234 UEP393234:UEU393234 UOL393234:UOQ393234 UYH393234:UYM393234 VID393234:VII393234 VRZ393234:VSE393234 WBV393234:WCA393234 WLR393234:WLW393234 WVN393234:WVS393234 F458770:K458770 JB458770:JG458770 SX458770:TC458770 ACT458770:ACY458770 AMP458770:AMU458770 AWL458770:AWQ458770 BGH458770:BGM458770 BQD458770:BQI458770 BZZ458770:CAE458770 CJV458770:CKA458770 CTR458770:CTW458770 DDN458770:DDS458770 DNJ458770:DNO458770 DXF458770:DXK458770 EHB458770:EHG458770 EQX458770:ERC458770 FAT458770:FAY458770 FKP458770:FKU458770 FUL458770:FUQ458770 GEH458770:GEM458770 GOD458770:GOI458770 GXZ458770:GYE458770 HHV458770:HIA458770 HRR458770:HRW458770 IBN458770:IBS458770 ILJ458770:ILO458770 IVF458770:IVK458770 JFB458770:JFG458770 JOX458770:JPC458770 JYT458770:JYY458770 KIP458770:KIU458770 KSL458770:KSQ458770 LCH458770:LCM458770 LMD458770:LMI458770 LVZ458770:LWE458770 MFV458770:MGA458770 MPR458770:MPW458770 MZN458770:MZS458770 NJJ458770:NJO458770 NTF458770:NTK458770 ODB458770:ODG458770 OMX458770:ONC458770 OWT458770:OWY458770 PGP458770:PGU458770 PQL458770:PQQ458770 QAH458770:QAM458770 QKD458770:QKI458770 QTZ458770:QUE458770 RDV458770:REA458770 RNR458770:RNW458770 RXN458770:RXS458770 SHJ458770:SHO458770 SRF458770:SRK458770 TBB458770:TBG458770 TKX458770:TLC458770 TUT458770:TUY458770 UEP458770:UEU458770 UOL458770:UOQ458770 UYH458770:UYM458770 VID458770:VII458770 VRZ458770:VSE458770 WBV458770:WCA458770 WLR458770:WLW458770 WVN458770:WVS458770 F524306:K524306 JB524306:JG524306 SX524306:TC524306 ACT524306:ACY524306 AMP524306:AMU524306 AWL524306:AWQ524306 BGH524306:BGM524306 BQD524306:BQI524306 BZZ524306:CAE524306 CJV524306:CKA524306 CTR524306:CTW524306 DDN524306:DDS524306 DNJ524306:DNO524306 DXF524306:DXK524306 EHB524306:EHG524306 EQX524306:ERC524306 FAT524306:FAY524306 FKP524306:FKU524306 FUL524306:FUQ524306 GEH524306:GEM524306 GOD524306:GOI524306 GXZ524306:GYE524306 HHV524306:HIA524306 HRR524306:HRW524306 IBN524306:IBS524306 ILJ524306:ILO524306 IVF524306:IVK524306 JFB524306:JFG524306 JOX524306:JPC524306 JYT524306:JYY524306 KIP524306:KIU524306 KSL524306:KSQ524306 LCH524306:LCM524306 LMD524306:LMI524306 LVZ524306:LWE524306 MFV524306:MGA524306 MPR524306:MPW524306 MZN524306:MZS524306 NJJ524306:NJO524306 NTF524306:NTK524306 ODB524306:ODG524306 OMX524306:ONC524306 OWT524306:OWY524306 PGP524306:PGU524306 PQL524306:PQQ524306 QAH524306:QAM524306 QKD524306:QKI524306 QTZ524306:QUE524306 RDV524306:REA524306 RNR524306:RNW524306 RXN524306:RXS524306 SHJ524306:SHO524306 SRF524306:SRK524306 TBB524306:TBG524306 TKX524306:TLC524306 TUT524306:TUY524306 UEP524306:UEU524306 UOL524306:UOQ524306 UYH524306:UYM524306 VID524306:VII524306 VRZ524306:VSE524306 WBV524306:WCA524306 WLR524306:WLW524306 WVN524306:WVS524306 F589842:K589842 JB589842:JG589842 SX589842:TC589842 ACT589842:ACY589842 AMP589842:AMU589842 AWL589842:AWQ589842 BGH589842:BGM589842 BQD589842:BQI589842 BZZ589842:CAE589842 CJV589842:CKA589842 CTR589842:CTW589842 DDN589842:DDS589842 DNJ589842:DNO589842 DXF589842:DXK589842 EHB589842:EHG589842 EQX589842:ERC589842 FAT589842:FAY589842 FKP589842:FKU589842 FUL589842:FUQ589842 GEH589842:GEM589842 GOD589842:GOI589842 GXZ589842:GYE589842 HHV589842:HIA589842 HRR589842:HRW589842 IBN589842:IBS589842 ILJ589842:ILO589842 IVF589842:IVK589842 JFB589842:JFG589842 JOX589842:JPC589842 JYT589842:JYY589842 KIP589842:KIU589842 KSL589842:KSQ589842 LCH589842:LCM589842 LMD589842:LMI589842 LVZ589842:LWE589842 MFV589842:MGA589842 MPR589842:MPW589842 MZN589842:MZS589842 NJJ589842:NJO589842 NTF589842:NTK589842 ODB589842:ODG589842 OMX589842:ONC589842 OWT589842:OWY589842 PGP589842:PGU589842 PQL589842:PQQ589842 QAH589842:QAM589842 QKD589842:QKI589842 QTZ589842:QUE589842 RDV589842:REA589842 RNR589842:RNW589842 RXN589842:RXS589842 SHJ589842:SHO589842 SRF589842:SRK589842 TBB589842:TBG589842 TKX589842:TLC589842 TUT589842:TUY589842 UEP589842:UEU589842 UOL589842:UOQ589842 UYH589842:UYM589842 VID589842:VII589842 VRZ589842:VSE589842 WBV589842:WCA589842 WLR589842:WLW589842 WVN589842:WVS589842 F655378:K655378 JB655378:JG655378 SX655378:TC655378 ACT655378:ACY655378 AMP655378:AMU655378 AWL655378:AWQ655378 BGH655378:BGM655378 BQD655378:BQI655378 BZZ655378:CAE655378 CJV655378:CKA655378 CTR655378:CTW655378 DDN655378:DDS655378 DNJ655378:DNO655378 DXF655378:DXK655378 EHB655378:EHG655378 EQX655378:ERC655378 FAT655378:FAY655378 FKP655378:FKU655378 FUL655378:FUQ655378 GEH655378:GEM655378 GOD655378:GOI655378 GXZ655378:GYE655378 HHV655378:HIA655378 HRR655378:HRW655378 IBN655378:IBS655378 ILJ655378:ILO655378 IVF655378:IVK655378 JFB655378:JFG655378 JOX655378:JPC655378 JYT655378:JYY655378 KIP655378:KIU655378 KSL655378:KSQ655378 LCH655378:LCM655378 LMD655378:LMI655378 LVZ655378:LWE655378 MFV655378:MGA655378 MPR655378:MPW655378 MZN655378:MZS655378 NJJ655378:NJO655378 NTF655378:NTK655378 ODB655378:ODG655378 OMX655378:ONC655378 OWT655378:OWY655378 PGP655378:PGU655378 PQL655378:PQQ655378 QAH655378:QAM655378 QKD655378:QKI655378 QTZ655378:QUE655378 RDV655378:REA655378 RNR655378:RNW655378 RXN655378:RXS655378 SHJ655378:SHO655378 SRF655378:SRK655378 TBB655378:TBG655378 TKX655378:TLC655378 TUT655378:TUY655378 UEP655378:UEU655378 UOL655378:UOQ655378 UYH655378:UYM655378 VID655378:VII655378 VRZ655378:VSE655378 WBV655378:WCA655378 WLR655378:WLW655378 WVN655378:WVS655378 F720914:K720914 JB720914:JG720914 SX720914:TC720914 ACT720914:ACY720914 AMP720914:AMU720914 AWL720914:AWQ720914 BGH720914:BGM720914 BQD720914:BQI720914 BZZ720914:CAE720914 CJV720914:CKA720914 CTR720914:CTW720914 DDN720914:DDS720914 DNJ720914:DNO720914 DXF720914:DXK720914 EHB720914:EHG720914 EQX720914:ERC720914 FAT720914:FAY720914 FKP720914:FKU720914 FUL720914:FUQ720914 GEH720914:GEM720914 GOD720914:GOI720914 GXZ720914:GYE720914 HHV720914:HIA720914 HRR720914:HRW720914 IBN720914:IBS720914 ILJ720914:ILO720914 IVF720914:IVK720914 JFB720914:JFG720914 JOX720914:JPC720914 JYT720914:JYY720914 KIP720914:KIU720914 KSL720914:KSQ720914 LCH720914:LCM720914 LMD720914:LMI720914 LVZ720914:LWE720914 MFV720914:MGA720914 MPR720914:MPW720914 MZN720914:MZS720914 NJJ720914:NJO720914 NTF720914:NTK720914 ODB720914:ODG720914 OMX720914:ONC720914 OWT720914:OWY720914 PGP720914:PGU720914 PQL720914:PQQ720914 QAH720914:QAM720914 QKD720914:QKI720914 QTZ720914:QUE720914 RDV720914:REA720914 RNR720914:RNW720914 RXN720914:RXS720914 SHJ720914:SHO720914 SRF720914:SRK720914 TBB720914:TBG720914 TKX720914:TLC720914 TUT720914:TUY720914 UEP720914:UEU720914 UOL720914:UOQ720914 UYH720914:UYM720914 VID720914:VII720914 VRZ720914:VSE720914 WBV720914:WCA720914 WLR720914:WLW720914 WVN720914:WVS720914 F786450:K786450 JB786450:JG786450 SX786450:TC786450 ACT786450:ACY786450 AMP786450:AMU786450 AWL786450:AWQ786450 BGH786450:BGM786450 BQD786450:BQI786450 BZZ786450:CAE786450 CJV786450:CKA786450 CTR786450:CTW786450 DDN786450:DDS786450 DNJ786450:DNO786450 DXF786450:DXK786450 EHB786450:EHG786450 EQX786450:ERC786450 FAT786450:FAY786450 FKP786450:FKU786450 FUL786450:FUQ786450 GEH786450:GEM786450 GOD786450:GOI786450 GXZ786450:GYE786450 HHV786450:HIA786450 HRR786450:HRW786450 IBN786450:IBS786450 ILJ786450:ILO786450 IVF786450:IVK786450 JFB786450:JFG786450 JOX786450:JPC786450 JYT786450:JYY786450 KIP786450:KIU786450 KSL786450:KSQ786450 LCH786450:LCM786450 LMD786450:LMI786450 LVZ786450:LWE786450 MFV786450:MGA786450 MPR786450:MPW786450 MZN786450:MZS786450 NJJ786450:NJO786450 NTF786450:NTK786450 ODB786450:ODG786450 OMX786450:ONC786450 OWT786450:OWY786450 PGP786450:PGU786450 PQL786450:PQQ786450 QAH786450:QAM786450 QKD786450:QKI786450 QTZ786450:QUE786450 RDV786450:REA786450 RNR786450:RNW786450 RXN786450:RXS786450 SHJ786450:SHO786450 SRF786450:SRK786450 TBB786450:TBG786450 TKX786450:TLC786450 TUT786450:TUY786450 UEP786450:UEU786450 UOL786450:UOQ786450 UYH786450:UYM786450 VID786450:VII786450 VRZ786450:VSE786450 WBV786450:WCA786450 WLR786450:WLW786450 WVN786450:WVS786450 F851986:K851986 JB851986:JG851986 SX851986:TC851986 ACT851986:ACY851986 AMP851986:AMU851986 AWL851986:AWQ851986 BGH851986:BGM851986 BQD851986:BQI851986 BZZ851986:CAE851986 CJV851986:CKA851986 CTR851986:CTW851986 DDN851986:DDS851986 DNJ851986:DNO851986 DXF851986:DXK851986 EHB851986:EHG851986 EQX851986:ERC851986 FAT851986:FAY851986 FKP851986:FKU851986 FUL851986:FUQ851986 GEH851986:GEM851986 GOD851986:GOI851986 GXZ851986:GYE851986 HHV851986:HIA851986 HRR851986:HRW851986 IBN851986:IBS851986 ILJ851986:ILO851986 IVF851986:IVK851986 JFB851986:JFG851986 JOX851986:JPC851986 JYT851986:JYY851986 KIP851986:KIU851986 KSL851986:KSQ851986 LCH851986:LCM851986 LMD851986:LMI851986 LVZ851986:LWE851986 MFV851986:MGA851986 MPR851986:MPW851986 MZN851986:MZS851986 NJJ851986:NJO851986 NTF851986:NTK851986 ODB851986:ODG851986 OMX851986:ONC851986 OWT851986:OWY851986 PGP851986:PGU851986 PQL851986:PQQ851986 QAH851986:QAM851986 QKD851986:QKI851986 QTZ851986:QUE851986 RDV851986:REA851986 RNR851986:RNW851986 RXN851986:RXS851986 SHJ851986:SHO851986 SRF851986:SRK851986 TBB851986:TBG851986 TKX851986:TLC851986 TUT851986:TUY851986 UEP851986:UEU851986 UOL851986:UOQ851986 UYH851986:UYM851986 VID851986:VII851986 VRZ851986:VSE851986 WBV851986:WCA851986 WLR851986:WLW851986 WVN851986:WVS851986 F917522:K917522 JB917522:JG917522 SX917522:TC917522 ACT917522:ACY917522 AMP917522:AMU917522 AWL917522:AWQ917522 BGH917522:BGM917522 BQD917522:BQI917522 BZZ917522:CAE917522 CJV917522:CKA917522 CTR917522:CTW917522 DDN917522:DDS917522 DNJ917522:DNO917522 DXF917522:DXK917522 EHB917522:EHG917522 EQX917522:ERC917522 FAT917522:FAY917522 FKP917522:FKU917522 FUL917522:FUQ917522 GEH917522:GEM917522 GOD917522:GOI917522 GXZ917522:GYE917522 HHV917522:HIA917522 HRR917522:HRW917522 IBN917522:IBS917522 ILJ917522:ILO917522 IVF917522:IVK917522 JFB917522:JFG917522 JOX917522:JPC917522 JYT917522:JYY917522 KIP917522:KIU917522 KSL917522:KSQ917522 LCH917522:LCM917522 LMD917522:LMI917522 LVZ917522:LWE917522 MFV917522:MGA917522 MPR917522:MPW917522 MZN917522:MZS917522 NJJ917522:NJO917522 NTF917522:NTK917522 ODB917522:ODG917522 OMX917522:ONC917522 OWT917522:OWY917522 PGP917522:PGU917522 PQL917522:PQQ917522 QAH917522:QAM917522 QKD917522:QKI917522 QTZ917522:QUE917522 RDV917522:REA917522 RNR917522:RNW917522 RXN917522:RXS917522 SHJ917522:SHO917522 SRF917522:SRK917522 TBB917522:TBG917522 TKX917522:TLC917522 TUT917522:TUY917522 UEP917522:UEU917522 UOL917522:UOQ917522 UYH917522:UYM917522 VID917522:VII917522 VRZ917522:VSE917522 WBV917522:WCA917522 WLR917522:WLW917522 WVN917522:WVS917522 F983058:K983058 JB983058:JG983058 SX983058:TC983058 ACT983058:ACY983058 AMP983058:AMU983058 AWL983058:AWQ983058 BGH983058:BGM983058 BQD983058:BQI983058 BZZ983058:CAE983058 CJV983058:CKA983058 CTR983058:CTW983058 DDN983058:DDS983058 DNJ983058:DNO983058 DXF983058:DXK983058 EHB983058:EHG983058 EQX983058:ERC983058 FAT983058:FAY983058 FKP983058:FKU983058 FUL983058:FUQ983058 GEH983058:GEM983058 GOD983058:GOI983058 GXZ983058:GYE983058 HHV983058:HIA983058 HRR983058:HRW983058 IBN983058:IBS983058 ILJ983058:ILO983058 IVF983058:IVK983058 JFB983058:JFG983058 JOX983058:JPC983058 JYT983058:JYY983058 KIP983058:KIU983058 KSL983058:KSQ983058 LCH983058:LCM983058 LMD983058:LMI983058 LVZ983058:LWE983058 MFV983058:MGA983058 MPR983058:MPW983058 MZN983058:MZS983058 NJJ983058:NJO983058 NTF983058:NTK983058 ODB983058:ODG983058 OMX983058:ONC983058 OWT983058:OWY983058 PGP983058:PGU983058 PQL983058:PQQ983058 QAH983058:QAM983058 QKD983058:QKI983058 QTZ983058:QUE983058 RDV983058:REA983058 RNR983058:RNW983058 RXN983058:RXS983058 SHJ983058:SHO983058 SRF983058:SRK983058 TBB983058:TBG983058 TKX983058:TLC983058 TUT983058:TUY983058 UEP983058:UEU983058 UOL983058:UOQ983058 UYH983058:UYM983058 VID983058:VII983058 VRZ983058:VSE983058 WBV983058:WCA983058 WLR983058:WLW983058 WVN983058:WVS983058 Z18:AE18 JV18:KA18 TR18:TW18 ADN18:ADS18 ANJ18:ANO18 AXF18:AXK18 BHB18:BHG18 BQX18:BRC18 CAT18:CAY18 CKP18:CKU18 CUL18:CUQ18 DEH18:DEM18 DOD18:DOI18 DXZ18:DYE18 EHV18:EIA18 ERR18:ERW18 FBN18:FBS18 FLJ18:FLO18 FVF18:FVK18 GFB18:GFG18 GOX18:GPC18 GYT18:GYY18 HIP18:HIU18 HSL18:HSQ18 ICH18:ICM18 IMD18:IMI18 IVZ18:IWE18 JFV18:JGA18 JPR18:JPW18 JZN18:JZS18 KJJ18:KJO18 KTF18:KTK18 LDB18:LDG18 LMX18:LNC18 LWT18:LWY18 MGP18:MGU18 MQL18:MQQ18 NAH18:NAM18 NKD18:NKI18 NTZ18:NUE18 ODV18:OEA18 ONR18:ONW18 OXN18:OXS18 PHJ18:PHO18 PRF18:PRK18 QBB18:QBG18 QKX18:QLC18 QUT18:QUY18 REP18:REU18 ROL18:ROQ18 RYH18:RYM18 SID18:SII18 SRZ18:SSE18 TBV18:TCA18 TLR18:TLW18 TVN18:TVS18 UFJ18:UFO18 UPF18:UPK18 UZB18:UZG18 VIX18:VJC18 VST18:VSY18 WCP18:WCU18 WML18:WMQ18 WWH18:WWM18 Z65554:AE65554 JV65554:KA65554 TR65554:TW65554 ADN65554:ADS65554 ANJ65554:ANO65554 AXF65554:AXK65554 BHB65554:BHG65554 BQX65554:BRC65554 CAT65554:CAY65554 CKP65554:CKU65554 CUL65554:CUQ65554 DEH65554:DEM65554 DOD65554:DOI65554 DXZ65554:DYE65554 EHV65554:EIA65554 ERR65554:ERW65554 FBN65554:FBS65554 FLJ65554:FLO65554 FVF65554:FVK65554 GFB65554:GFG65554 GOX65554:GPC65554 GYT65554:GYY65554 HIP65554:HIU65554 HSL65554:HSQ65554 ICH65554:ICM65554 IMD65554:IMI65554 IVZ65554:IWE65554 JFV65554:JGA65554 JPR65554:JPW65554 JZN65554:JZS65554 KJJ65554:KJO65554 KTF65554:KTK65554 LDB65554:LDG65554 LMX65554:LNC65554 LWT65554:LWY65554 MGP65554:MGU65554 MQL65554:MQQ65554 NAH65554:NAM65554 NKD65554:NKI65554 NTZ65554:NUE65554 ODV65554:OEA65554 ONR65554:ONW65554 OXN65554:OXS65554 PHJ65554:PHO65554 PRF65554:PRK65554 QBB65554:QBG65554 QKX65554:QLC65554 QUT65554:QUY65554 REP65554:REU65554 ROL65554:ROQ65554 RYH65554:RYM65554 SID65554:SII65554 SRZ65554:SSE65554 TBV65554:TCA65554 TLR65554:TLW65554 TVN65554:TVS65554 UFJ65554:UFO65554 UPF65554:UPK65554 UZB65554:UZG65554 VIX65554:VJC65554 VST65554:VSY65554 WCP65554:WCU65554 WML65554:WMQ65554 WWH65554:WWM65554 Z131090:AE131090 JV131090:KA131090 TR131090:TW131090 ADN131090:ADS131090 ANJ131090:ANO131090 AXF131090:AXK131090 BHB131090:BHG131090 BQX131090:BRC131090 CAT131090:CAY131090 CKP131090:CKU131090 CUL131090:CUQ131090 DEH131090:DEM131090 DOD131090:DOI131090 DXZ131090:DYE131090 EHV131090:EIA131090 ERR131090:ERW131090 FBN131090:FBS131090 FLJ131090:FLO131090 FVF131090:FVK131090 GFB131090:GFG131090 GOX131090:GPC131090 GYT131090:GYY131090 HIP131090:HIU131090 HSL131090:HSQ131090 ICH131090:ICM131090 IMD131090:IMI131090 IVZ131090:IWE131090 JFV131090:JGA131090 JPR131090:JPW131090 JZN131090:JZS131090 KJJ131090:KJO131090 KTF131090:KTK131090 LDB131090:LDG131090 LMX131090:LNC131090 LWT131090:LWY131090 MGP131090:MGU131090 MQL131090:MQQ131090 NAH131090:NAM131090 NKD131090:NKI131090 NTZ131090:NUE131090 ODV131090:OEA131090 ONR131090:ONW131090 OXN131090:OXS131090 PHJ131090:PHO131090 PRF131090:PRK131090 QBB131090:QBG131090 QKX131090:QLC131090 QUT131090:QUY131090 REP131090:REU131090 ROL131090:ROQ131090 RYH131090:RYM131090 SID131090:SII131090 SRZ131090:SSE131090 TBV131090:TCA131090 TLR131090:TLW131090 TVN131090:TVS131090 UFJ131090:UFO131090 UPF131090:UPK131090 UZB131090:UZG131090 VIX131090:VJC131090 VST131090:VSY131090 WCP131090:WCU131090 WML131090:WMQ131090 WWH131090:WWM131090 Z196626:AE196626 JV196626:KA196626 TR196626:TW196626 ADN196626:ADS196626 ANJ196626:ANO196626 AXF196626:AXK196626 BHB196626:BHG196626 BQX196626:BRC196626 CAT196626:CAY196626 CKP196626:CKU196626 CUL196626:CUQ196626 DEH196626:DEM196626 DOD196626:DOI196626 DXZ196626:DYE196626 EHV196626:EIA196626 ERR196626:ERW196626 FBN196626:FBS196626 FLJ196626:FLO196626 FVF196626:FVK196626 GFB196626:GFG196626 GOX196626:GPC196626 GYT196626:GYY196626 HIP196626:HIU196626 HSL196626:HSQ196626 ICH196626:ICM196626 IMD196626:IMI196626 IVZ196626:IWE196626 JFV196626:JGA196626 JPR196626:JPW196626 JZN196626:JZS196626 KJJ196626:KJO196626 KTF196626:KTK196626 LDB196626:LDG196626 LMX196626:LNC196626 LWT196626:LWY196626 MGP196626:MGU196626 MQL196626:MQQ196626 NAH196626:NAM196626 NKD196626:NKI196626 NTZ196626:NUE196626 ODV196626:OEA196626 ONR196626:ONW196626 OXN196626:OXS196626 PHJ196626:PHO196626 PRF196626:PRK196626 QBB196626:QBG196626 QKX196626:QLC196626 QUT196626:QUY196626 REP196626:REU196626 ROL196626:ROQ196626 RYH196626:RYM196626 SID196626:SII196626 SRZ196626:SSE196626 TBV196626:TCA196626 TLR196626:TLW196626 TVN196626:TVS196626 UFJ196626:UFO196626 UPF196626:UPK196626 UZB196626:UZG196626 VIX196626:VJC196626 VST196626:VSY196626 WCP196626:WCU196626 WML196626:WMQ196626 WWH196626:WWM196626 Z262162:AE262162 JV262162:KA262162 TR262162:TW262162 ADN262162:ADS262162 ANJ262162:ANO262162 AXF262162:AXK262162 BHB262162:BHG262162 BQX262162:BRC262162 CAT262162:CAY262162 CKP262162:CKU262162 CUL262162:CUQ262162 DEH262162:DEM262162 DOD262162:DOI262162 DXZ262162:DYE262162 EHV262162:EIA262162 ERR262162:ERW262162 FBN262162:FBS262162 FLJ262162:FLO262162 FVF262162:FVK262162 GFB262162:GFG262162 GOX262162:GPC262162 GYT262162:GYY262162 HIP262162:HIU262162 HSL262162:HSQ262162 ICH262162:ICM262162 IMD262162:IMI262162 IVZ262162:IWE262162 JFV262162:JGA262162 JPR262162:JPW262162 JZN262162:JZS262162 KJJ262162:KJO262162 KTF262162:KTK262162 LDB262162:LDG262162 LMX262162:LNC262162 LWT262162:LWY262162 MGP262162:MGU262162 MQL262162:MQQ262162 NAH262162:NAM262162 NKD262162:NKI262162 NTZ262162:NUE262162 ODV262162:OEA262162 ONR262162:ONW262162 OXN262162:OXS262162 PHJ262162:PHO262162 PRF262162:PRK262162 QBB262162:QBG262162 QKX262162:QLC262162 QUT262162:QUY262162 REP262162:REU262162 ROL262162:ROQ262162 RYH262162:RYM262162 SID262162:SII262162 SRZ262162:SSE262162 TBV262162:TCA262162 TLR262162:TLW262162 TVN262162:TVS262162 UFJ262162:UFO262162 UPF262162:UPK262162 UZB262162:UZG262162 VIX262162:VJC262162 VST262162:VSY262162 WCP262162:WCU262162 WML262162:WMQ262162 WWH262162:WWM262162 Z327698:AE327698 JV327698:KA327698 TR327698:TW327698 ADN327698:ADS327698 ANJ327698:ANO327698 AXF327698:AXK327698 BHB327698:BHG327698 BQX327698:BRC327698 CAT327698:CAY327698 CKP327698:CKU327698 CUL327698:CUQ327698 DEH327698:DEM327698 DOD327698:DOI327698 DXZ327698:DYE327698 EHV327698:EIA327698 ERR327698:ERW327698 FBN327698:FBS327698 FLJ327698:FLO327698 FVF327698:FVK327698 GFB327698:GFG327698 GOX327698:GPC327698 GYT327698:GYY327698 HIP327698:HIU327698 HSL327698:HSQ327698 ICH327698:ICM327698 IMD327698:IMI327698 IVZ327698:IWE327698 JFV327698:JGA327698 JPR327698:JPW327698 JZN327698:JZS327698 KJJ327698:KJO327698 KTF327698:KTK327698 LDB327698:LDG327698 LMX327698:LNC327698 LWT327698:LWY327698 MGP327698:MGU327698 MQL327698:MQQ327698 NAH327698:NAM327698 NKD327698:NKI327698 NTZ327698:NUE327698 ODV327698:OEA327698 ONR327698:ONW327698 OXN327698:OXS327698 PHJ327698:PHO327698 PRF327698:PRK327698 QBB327698:QBG327698 QKX327698:QLC327698 QUT327698:QUY327698 REP327698:REU327698 ROL327698:ROQ327698 RYH327698:RYM327698 SID327698:SII327698 SRZ327698:SSE327698 TBV327698:TCA327698 TLR327698:TLW327698 TVN327698:TVS327698 UFJ327698:UFO327698 UPF327698:UPK327698 UZB327698:UZG327698 VIX327698:VJC327698 VST327698:VSY327698 WCP327698:WCU327698 WML327698:WMQ327698 WWH327698:WWM327698 Z393234:AE393234 JV393234:KA393234 TR393234:TW393234 ADN393234:ADS393234 ANJ393234:ANO393234 AXF393234:AXK393234 BHB393234:BHG393234 BQX393234:BRC393234 CAT393234:CAY393234 CKP393234:CKU393234 CUL393234:CUQ393234 DEH393234:DEM393234 DOD393234:DOI393234 DXZ393234:DYE393234 EHV393234:EIA393234 ERR393234:ERW393234 FBN393234:FBS393234 FLJ393234:FLO393234 FVF393234:FVK393234 GFB393234:GFG393234 GOX393234:GPC393234 GYT393234:GYY393234 HIP393234:HIU393234 HSL393234:HSQ393234 ICH393234:ICM393234 IMD393234:IMI393234 IVZ393234:IWE393234 JFV393234:JGA393234 JPR393234:JPW393234 JZN393234:JZS393234 KJJ393234:KJO393234 KTF393234:KTK393234 LDB393234:LDG393234 LMX393234:LNC393234 LWT393234:LWY393234 MGP393234:MGU393234 MQL393234:MQQ393234 NAH393234:NAM393234 NKD393234:NKI393234 NTZ393234:NUE393234 ODV393234:OEA393234 ONR393234:ONW393234 OXN393234:OXS393234 PHJ393234:PHO393234 PRF393234:PRK393234 QBB393234:QBG393234 QKX393234:QLC393234 QUT393234:QUY393234 REP393234:REU393234 ROL393234:ROQ393234 RYH393234:RYM393234 SID393234:SII393234 SRZ393234:SSE393234 TBV393234:TCA393234 TLR393234:TLW393234 TVN393234:TVS393234 UFJ393234:UFO393234 UPF393234:UPK393234 UZB393234:UZG393234 VIX393234:VJC393234 VST393234:VSY393234 WCP393234:WCU393234 WML393234:WMQ393234 WWH393234:WWM393234 Z458770:AE458770 JV458770:KA458770 TR458770:TW458770 ADN458770:ADS458770 ANJ458770:ANO458770 AXF458770:AXK458770 BHB458770:BHG458770 BQX458770:BRC458770 CAT458770:CAY458770 CKP458770:CKU458770 CUL458770:CUQ458770 DEH458770:DEM458770 DOD458770:DOI458770 DXZ458770:DYE458770 EHV458770:EIA458770 ERR458770:ERW458770 FBN458770:FBS458770 FLJ458770:FLO458770 FVF458770:FVK458770 GFB458770:GFG458770 GOX458770:GPC458770 GYT458770:GYY458770 HIP458770:HIU458770 HSL458770:HSQ458770 ICH458770:ICM458770 IMD458770:IMI458770 IVZ458770:IWE458770 JFV458770:JGA458770 JPR458770:JPW458770 JZN458770:JZS458770 KJJ458770:KJO458770 KTF458770:KTK458770 LDB458770:LDG458770 LMX458770:LNC458770 LWT458770:LWY458770 MGP458770:MGU458770 MQL458770:MQQ458770 NAH458770:NAM458770 NKD458770:NKI458770 NTZ458770:NUE458770 ODV458770:OEA458770 ONR458770:ONW458770 OXN458770:OXS458770 PHJ458770:PHO458770 PRF458770:PRK458770 QBB458770:QBG458770 QKX458770:QLC458770 QUT458770:QUY458770 REP458770:REU458770 ROL458770:ROQ458770 RYH458770:RYM458770 SID458770:SII458770 SRZ458770:SSE458770 TBV458770:TCA458770 TLR458770:TLW458770 TVN458770:TVS458770 UFJ458770:UFO458770 UPF458770:UPK458770 UZB458770:UZG458770 VIX458770:VJC458770 VST458770:VSY458770 WCP458770:WCU458770 WML458770:WMQ458770 WWH458770:WWM458770 Z524306:AE524306 JV524306:KA524306 TR524306:TW524306 ADN524306:ADS524306 ANJ524306:ANO524306 AXF524306:AXK524306 BHB524306:BHG524306 BQX524306:BRC524306 CAT524306:CAY524306 CKP524306:CKU524306 CUL524306:CUQ524306 DEH524306:DEM524306 DOD524306:DOI524306 DXZ524306:DYE524306 EHV524306:EIA524306 ERR524306:ERW524306 FBN524306:FBS524306 FLJ524306:FLO524306 FVF524306:FVK524306 GFB524306:GFG524306 GOX524306:GPC524306 GYT524306:GYY524306 HIP524306:HIU524306 HSL524306:HSQ524306 ICH524306:ICM524306 IMD524306:IMI524306 IVZ524306:IWE524306 JFV524306:JGA524306 JPR524306:JPW524306 JZN524306:JZS524306 KJJ524306:KJO524306 KTF524306:KTK524306 LDB524306:LDG524306 LMX524306:LNC524306 LWT524306:LWY524306 MGP524306:MGU524306 MQL524306:MQQ524306 NAH524306:NAM524306 NKD524306:NKI524306 NTZ524306:NUE524306 ODV524306:OEA524306 ONR524306:ONW524306 OXN524306:OXS524306 PHJ524306:PHO524306 PRF524306:PRK524306 QBB524306:QBG524306 QKX524306:QLC524306 QUT524306:QUY524306 REP524306:REU524306 ROL524306:ROQ524306 RYH524306:RYM524306 SID524306:SII524306 SRZ524306:SSE524306 TBV524306:TCA524306 TLR524306:TLW524306 TVN524306:TVS524306 UFJ524306:UFO524306 UPF524306:UPK524306 UZB524306:UZG524306 VIX524306:VJC524306 VST524306:VSY524306 WCP524306:WCU524306 WML524306:WMQ524306 WWH524306:WWM524306 Z589842:AE589842 JV589842:KA589842 TR589842:TW589842 ADN589842:ADS589842 ANJ589842:ANO589842 AXF589842:AXK589842 BHB589842:BHG589842 BQX589842:BRC589842 CAT589842:CAY589842 CKP589842:CKU589842 CUL589842:CUQ589842 DEH589842:DEM589842 DOD589842:DOI589842 DXZ589842:DYE589842 EHV589842:EIA589842 ERR589842:ERW589842 FBN589842:FBS589842 FLJ589842:FLO589842 FVF589842:FVK589842 GFB589842:GFG589842 GOX589842:GPC589842 GYT589842:GYY589842 HIP589842:HIU589842 HSL589842:HSQ589842 ICH589842:ICM589842 IMD589842:IMI589842 IVZ589842:IWE589842 JFV589842:JGA589842 JPR589842:JPW589842 JZN589842:JZS589842 KJJ589842:KJO589842 KTF589842:KTK589842 LDB589842:LDG589842 LMX589842:LNC589842 LWT589842:LWY589842 MGP589842:MGU589842 MQL589842:MQQ589842 NAH589842:NAM589842 NKD589842:NKI589842 NTZ589842:NUE589842 ODV589842:OEA589842 ONR589842:ONW589842 OXN589842:OXS589842 PHJ589842:PHO589842 PRF589842:PRK589842 QBB589842:QBG589842 QKX589842:QLC589842 QUT589842:QUY589842 REP589842:REU589842 ROL589842:ROQ589842 RYH589842:RYM589842 SID589842:SII589842 SRZ589842:SSE589842 TBV589842:TCA589842 TLR589842:TLW589842 TVN589842:TVS589842 UFJ589842:UFO589842 UPF589842:UPK589842 UZB589842:UZG589842 VIX589842:VJC589842 VST589842:VSY589842 WCP589842:WCU589842 WML589842:WMQ589842 WWH589842:WWM589842 Z655378:AE655378 JV655378:KA655378 TR655378:TW655378 ADN655378:ADS655378 ANJ655378:ANO655378 AXF655378:AXK655378 BHB655378:BHG655378 BQX655378:BRC655378 CAT655378:CAY655378 CKP655378:CKU655378 CUL655378:CUQ655378 DEH655378:DEM655378 DOD655378:DOI655378 DXZ655378:DYE655378 EHV655378:EIA655378 ERR655378:ERW655378 FBN655378:FBS655378 FLJ655378:FLO655378 FVF655378:FVK655378 GFB655378:GFG655378 GOX655378:GPC655378 GYT655378:GYY655378 HIP655378:HIU655378 HSL655378:HSQ655378 ICH655378:ICM655378 IMD655378:IMI655378 IVZ655378:IWE655378 JFV655378:JGA655378 JPR655378:JPW655378 JZN655378:JZS655378 KJJ655378:KJO655378 KTF655378:KTK655378 LDB655378:LDG655378 LMX655378:LNC655378 LWT655378:LWY655378 MGP655378:MGU655378 MQL655378:MQQ655378 NAH655378:NAM655378 NKD655378:NKI655378 NTZ655378:NUE655378 ODV655378:OEA655378 ONR655378:ONW655378 OXN655378:OXS655378 PHJ655378:PHO655378 PRF655378:PRK655378 QBB655378:QBG655378 QKX655378:QLC655378 QUT655378:QUY655378 REP655378:REU655378 ROL655378:ROQ655378 RYH655378:RYM655378 SID655378:SII655378 SRZ655378:SSE655378 TBV655378:TCA655378 TLR655378:TLW655378 TVN655378:TVS655378 UFJ655378:UFO655378 UPF655378:UPK655378 UZB655378:UZG655378 VIX655378:VJC655378 VST655378:VSY655378 WCP655378:WCU655378 WML655378:WMQ655378 WWH655378:WWM655378 Z720914:AE720914 JV720914:KA720914 TR720914:TW720914 ADN720914:ADS720914 ANJ720914:ANO720914 AXF720914:AXK720914 BHB720914:BHG720914 BQX720914:BRC720914 CAT720914:CAY720914 CKP720914:CKU720914 CUL720914:CUQ720914 DEH720914:DEM720914 DOD720914:DOI720914 DXZ720914:DYE720914 EHV720914:EIA720914 ERR720914:ERW720914 FBN720914:FBS720914 FLJ720914:FLO720914 FVF720914:FVK720914 GFB720914:GFG720914 GOX720914:GPC720914 GYT720914:GYY720914 HIP720914:HIU720914 HSL720914:HSQ720914 ICH720914:ICM720914 IMD720914:IMI720914 IVZ720914:IWE720914 JFV720914:JGA720914 JPR720914:JPW720914 JZN720914:JZS720914 KJJ720914:KJO720914 KTF720914:KTK720914 LDB720914:LDG720914 LMX720914:LNC720914 LWT720914:LWY720914 MGP720914:MGU720914 MQL720914:MQQ720914 NAH720914:NAM720914 NKD720914:NKI720914 NTZ720914:NUE720914 ODV720914:OEA720914 ONR720914:ONW720914 OXN720914:OXS720914 PHJ720914:PHO720914 PRF720914:PRK720914 QBB720914:QBG720914 QKX720914:QLC720914 QUT720914:QUY720914 REP720914:REU720914 ROL720914:ROQ720914 RYH720914:RYM720914 SID720914:SII720914 SRZ720914:SSE720914 TBV720914:TCA720914 TLR720914:TLW720914 TVN720914:TVS720914 UFJ720914:UFO720914 UPF720914:UPK720914 UZB720914:UZG720914 VIX720914:VJC720914 VST720914:VSY720914 WCP720914:WCU720914 WML720914:WMQ720914 WWH720914:WWM720914 Z786450:AE786450 JV786450:KA786450 TR786450:TW786450 ADN786450:ADS786450 ANJ786450:ANO786450 AXF786450:AXK786450 BHB786450:BHG786450 BQX786450:BRC786450 CAT786450:CAY786450 CKP786450:CKU786450 CUL786450:CUQ786450 DEH786450:DEM786450 DOD786450:DOI786450 DXZ786450:DYE786450 EHV786450:EIA786450 ERR786450:ERW786450 FBN786450:FBS786450 FLJ786450:FLO786450 FVF786450:FVK786450 GFB786450:GFG786450 GOX786450:GPC786450 GYT786450:GYY786450 HIP786450:HIU786450 HSL786450:HSQ786450 ICH786450:ICM786450 IMD786450:IMI786450 IVZ786450:IWE786450 JFV786450:JGA786450 JPR786450:JPW786450 JZN786450:JZS786450 KJJ786450:KJO786450 KTF786450:KTK786450 LDB786450:LDG786450 LMX786450:LNC786450 LWT786450:LWY786450 MGP786450:MGU786450 MQL786450:MQQ786450 NAH786450:NAM786450 NKD786450:NKI786450 NTZ786450:NUE786450 ODV786450:OEA786450 ONR786450:ONW786450 OXN786450:OXS786450 PHJ786450:PHO786450 PRF786450:PRK786450 QBB786450:QBG786450 QKX786450:QLC786450 QUT786450:QUY786450 REP786450:REU786450 ROL786450:ROQ786450 RYH786450:RYM786450 SID786450:SII786450 SRZ786450:SSE786450 TBV786450:TCA786450 TLR786450:TLW786450 TVN786450:TVS786450 UFJ786450:UFO786450 UPF786450:UPK786450 UZB786450:UZG786450 VIX786450:VJC786450 VST786450:VSY786450 WCP786450:WCU786450 WML786450:WMQ786450 WWH786450:WWM786450 Z851986:AE851986 JV851986:KA851986 TR851986:TW851986 ADN851986:ADS851986 ANJ851986:ANO851986 AXF851986:AXK851986 BHB851986:BHG851986 BQX851986:BRC851986 CAT851986:CAY851986 CKP851986:CKU851986 CUL851986:CUQ851986 DEH851986:DEM851986 DOD851986:DOI851986 DXZ851986:DYE851986 EHV851986:EIA851986 ERR851986:ERW851986 FBN851986:FBS851986 FLJ851986:FLO851986 FVF851986:FVK851986 GFB851986:GFG851986 GOX851986:GPC851986 GYT851986:GYY851986 HIP851986:HIU851986 HSL851986:HSQ851986 ICH851986:ICM851986 IMD851986:IMI851986 IVZ851986:IWE851986 JFV851986:JGA851986 JPR851986:JPW851986 JZN851986:JZS851986 KJJ851986:KJO851986 KTF851986:KTK851986 LDB851986:LDG851986 LMX851986:LNC851986 LWT851986:LWY851986 MGP851986:MGU851986 MQL851986:MQQ851986 NAH851986:NAM851986 NKD851986:NKI851986 NTZ851986:NUE851986 ODV851986:OEA851986 ONR851986:ONW851986 OXN851986:OXS851986 PHJ851986:PHO851986 PRF851986:PRK851986 QBB851986:QBG851986 QKX851986:QLC851986 QUT851986:QUY851986 REP851986:REU851986 ROL851986:ROQ851986 RYH851986:RYM851986 SID851986:SII851986 SRZ851986:SSE851986 TBV851986:TCA851986 TLR851986:TLW851986 TVN851986:TVS851986 UFJ851986:UFO851986 UPF851986:UPK851986 UZB851986:UZG851986 VIX851986:VJC851986 VST851986:VSY851986 WCP851986:WCU851986 WML851986:WMQ851986 WWH851986:WWM851986 Z917522:AE917522 JV917522:KA917522 TR917522:TW917522 ADN917522:ADS917522 ANJ917522:ANO917522 AXF917522:AXK917522 BHB917522:BHG917522 BQX917522:BRC917522 CAT917522:CAY917522 CKP917522:CKU917522 CUL917522:CUQ917522 DEH917522:DEM917522 DOD917522:DOI917522 DXZ917522:DYE917522 EHV917522:EIA917522 ERR917522:ERW917522 FBN917522:FBS917522 FLJ917522:FLO917522 FVF917522:FVK917522 GFB917522:GFG917522 GOX917522:GPC917522 GYT917522:GYY917522 HIP917522:HIU917522 HSL917522:HSQ917522 ICH917522:ICM917522 IMD917522:IMI917522 IVZ917522:IWE917522 JFV917522:JGA917522 JPR917522:JPW917522 JZN917522:JZS917522 KJJ917522:KJO917522 KTF917522:KTK917522 LDB917522:LDG917522 LMX917522:LNC917522 LWT917522:LWY917522 MGP917522:MGU917522 MQL917522:MQQ917522 NAH917522:NAM917522 NKD917522:NKI917522 NTZ917522:NUE917522 ODV917522:OEA917522 ONR917522:ONW917522 OXN917522:OXS917522 PHJ917522:PHO917522 PRF917522:PRK917522 QBB917522:QBG917522 QKX917522:QLC917522 QUT917522:QUY917522 REP917522:REU917522 ROL917522:ROQ917522 RYH917522:RYM917522 SID917522:SII917522 SRZ917522:SSE917522 TBV917522:TCA917522 TLR917522:TLW917522 TVN917522:TVS917522 UFJ917522:UFO917522 UPF917522:UPK917522 UZB917522:UZG917522 VIX917522:VJC917522 VST917522:VSY917522 WCP917522:WCU917522 WML917522:WMQ917522 WWH917522:WWM917522 Z983058:AE983058 JV983058:KA983058 TR983058:TW983058 ADN983058:ADS983058 ANJ983058:ANO983058 AXF983058:AXK983058 BHB983058:BHG983058 BQX983058:BRC983058 CAT983058:CAY983058 CKP983058:CKU983058 CUL983058:CUQ983058 DEH983058:DEM983058 DOD983058:DOI983058 DXZ983058:DYE983058 EHV983058:EIA983058 ERR983058:ERW983058 FBN983058:FBS983058 FLJ983058:FLO983058 FVF983058:FVK983058 GFB983058:GFG983058 GOX983058:GPC983058 GYT983058:GYY983058 HIP983058:HIU983058 HSL983058:HSQ983058 ICH983058:ICM983058 IMD983058:IMI983058 IVZ983058:IWE983058 JFV983058:JGA983058 JPR983058:JPW983058 JZN983058:JZS983058 KJJ983058:KJO983058 KTF983058:KTK983058 LDB983058:LDG983058 LMX983058:LNC983058 LWT983058:LWY983058 MGP983058:MGU983058 MQL983058:MQQ983058 NAH983058:NAM983058 NKD983058:NKI983058 NTZ983058:NUE983058 ODV983058:OEA983058 ONR983058:ONW983058 OXN983058:OXS983058 PHJ983058:PHO983058 PRF983058:PRK983058 QBB983058:QBG983058 QKX983058:QLC983058 QUT983058:QUY983058 REP983058:REU983058 ROL983058:ROQ983058 RYH983058:RYM983058 SID983058:SII983058 SRZ983058:SSE983058 TBV983058:TCA983058 TLR983058:TLW983058 TVN983058:TVS983058 UFJ983058:UFO983058 UPF983058:UPK983058 UZB983058:UZG983058 VIX983058:VJC983058 VST983058:VSY983058 WCP983058:WCU983058 WML983058:WMQ983058 WWH983058:WWM983058 P18:U18 JL18:JQ18 TH18:TM18 ADD18:ADI18 AMZ18:ANE18 AWV18:AXA18 BGR18:BGW18 BQN18:BQS18 CAJ18:CAO18 CKF18:CKK18 CUB18:CUG18 DDX18:DEC18 DNT18:DNY18 DXP18:DXU18 EHL18:EHQ18 ERH18:ERM18 FBD18:FBI18 FKZ18:FLE18 FUV18:FVA18 GER18:GEW18 GON18:GOS18 GYJ18:GYO18 HIF18:HIK18 HSB18:HSG18 IBX18:ICC18 ILT18:ILY18 IVP18:IVU18 JFL18:JFQ18 JPH18:JPM18 JZD18:JZI18 KIZ18:KJE18 KSV18:KTA18 LCR18:LCW18 LMN18:LMS18 LWJ18:LWO18 MGF18:MGK18 MQB18:MQG18 MZX18:NAC18 NJT18:NJY18 NTP18:NTU18 ODL18:ODQ18 ONH18:ONM18 OXD18:OXI18 PGZ18:PHE18 PQV18:PRA18 QAR18:QAW18 QKN18:QKS18 QUJ18:QUO18 REF18:REK18 ROB18:ROG18 RXX18:RYC18 SHT18:SHY18 SRP18:SRU18 TBL18:TBQ18 TLH18:TLM18 TVD18:TVI18 UEZ18:UFE18 UOV18:UPA18 UYR18:UYW18 VIN18:VIS18 VSJ18:VSO18 WCF18:WCK18 WMB18:WMG18 WVX18:WWC18 P65554:U65554 JL65554:JQ65554 TH65554:TM65554 ADD65554:ADI65554 AMZ65554:ANE65554 AWV65554:AXA65554 BGR65554:BGW65554 BQN65554:BQS65554 CAJ65554:CAO65554 CKF65554:CKK65554 CUB65554:CUG65554 DDX65554:DEC65554 DNT65554:DNY65554 DXP65554:DXU65554 EHL65554:EHQ65554 ERH65554:ERM65554 FBD65554:FBI65554 FKZ65554:FLE65554 FUV65554:FVA65554 GER65554:GEW65554 GON65554:GOS65554 GYJ65554:GYO65554 HIF65554:HIK65554 HSB65554:HSG65554 IBX65554:ICC65554 ILT65554:ILY65554 IVP65554:IVU65554 JFL65554:JFQ65554 JPH65554:JPM65554 JZD65554:JZI65554 KIZ65554:KJE65554 KSV65554:KTA65554 LCR65554:LCW65554 LMN65554:LMS65554 LWJ65554:LWO65554 MGF65554:MGK65554 MQB65554:MQG65554 MZX65554:NAC65554 NJT65554:NJY65554 NTP65554:NTU65554 ODL65554:ODQ65554 ONH65554:ONM65554 OXD65554:OXI65554 PGZ65554:PHE65554 PQV65554:PRA65554 QAR65554:QAW65554 QKN65554:QKS65554 QUJ65554:QUO65554 REF65554:REK65554 ROB65554:ROG65554 RXX65554:RYC65554 SHT65554:SHY65554 SRP65554:SRU65554 TBL65554:TBQ65554 TLH65554:TLM65554 TVD65554:TVI65554 UEZ65554:UFE65554 UOV65554:UPA65554 UYR65554:UYW65554 VIN65554:VIS65554 VSJ65554:VSO65554 WCF65554:WCK65554 WMB65554:WMG65554 WVX65554:WWC65554 P131090:U131090 JL131090:JQ131090 TH131090:TM131090 ADD131090:ADI131090 AMZ131090:ANE131090 AWV131090:AXA131090 BGR131090:BGW131090 BQN131090:BQS131090 CAJ131090:CAO131090 CKF131090:CKK131090 CUB131090:CUG131090 DDX131090:DEC131090 DNT131090:DNY131090 DXP131090:DXU131090 EHL131090:EHQ131090 ERH131090:ERM131090 FBD131090:FBI131090 FKZ131090:FLE131090 FUV131090:FVA131090 GER131090:GEW131090 GON131090:GOS131090 GYJ131090:GYO131090 HIF131090:HIK131090 HSB131090:HSG131090 IBX131090:ICC131090 ILT131090:ILY131090 IVP131090:IVU131090 JFL131090:JFQ131090 JPH131090:JPM131090 JZD131090:JZI131090 KIZ131090:KJE131090 KSV131090:KTA131090 LCR131090:LCW131090 LMN131090:LMS131090 LWJ131090:LWO131090 MGF131090:MGK131090 MQB131090:MQG131090 MZX131090:NAC131090 NJT131090:NJY131090 NTP131090:NTU131090 ODL131090:ODQ131090 ONH131090:ONM131090 OXD131090:OXI131090 PGZ131090:PHE131090 PQV131090:PRA131090 QAR131090:QAW131090 QKN131090:QKS131090 QUJ131090:QUO131090 REF131090:REK131090 ROB131090:ROG131090 RXX131090:RYC131090 SHT131090:SHY131090 SRP131090:SRU131090 TBL131090:TBQ131090 TLH131090:TLM131090 TVD131090:TVI131090 UEZ131090:UFE131090 UOV131090:UPA131090 UYR131090:UYW131090 VIN131090:VIS131090 VSJ131090:VSO131090 WCF131090:WCK131090 WMB131090:WMG131090 WVX131090:WWC131090 P196626:U196626 JL196626:JQ196626 TH196626:TM196626 ADD196626:ADI196626 AMZ196626:ANE196626 AWV196626:AXA196626 BGR196626:BGW196626 BQN196626:BQS196626 CAJ196626:CAO196626 CKF196626:CKK196626 CUB196626:CUG196626 DDX196626:DEC196626 DNT196626:DNY196626 DXP196626:DXU196626 EHL196626:EHQ196626 ERH196626:ERM196626 FBD196626:FBI196626 FKZ196626:FLE196626 FUV196626:FVA196626 GER196626:GEW196626 GON196626:GOS196626 GYJ196626:GYO196626 HIF196626:HIK196626 HSB196626:HSG196626 IBX196626:ICC196626 ILT196626:ILY196626 IVP196626:IVU196626 JFL196626:JFQ196626 JPH196626:JPM196626 JZD196626:JZI196626 KIZ196626:KJE196626 KSV196626:KTA196626 LCR196626:LCW196626 LMN196626:LMS196626 LWJ196626:LWO196626 MGF196626:MGK196626 MQB196626:MQG196626 MZX196626:NAC196626 NJT196626:NJY196626 NTP196626:NTU196626 ODL196626:ODQ196626 ONH196626:ONM196626 OXD196626:OXI196626 PGZ196626:PHE196626 PQV196626:PRA196626 QAR196626:QAW196626 QKN196626:QKS196626 QUJ196626:QUO196626 REF196626:REK196626 ROB196626:ROG196626 RXX196626:RYC196626 SHT196626:SHY196626 SRP196626:SRU196626 TBL196626:TBQ196626 TLH196626:TLM196626 TVD196626:TVI196626 UEZ196626:UFE196626 UOV196626:UPA196626 UYR196626:UYW196626 VIN196626:VIS196626 VSJ196626:VSO196626 WCF196626:WCK196626 WMB196626:WMG196626 WVX196626:WWC196626 P262162:U262162 JL262162:JQ262162 TH262162:TM262162 ADD262162:ADI262162 AMZ262162:ANE262162 AWV262162:AXA262162 BGR262162:BGW262162 BQN262162:BQS262162 CAJ262162:CAO262162 CKF262162:CKK262162 CUB262162:CUG262162 DDX262162:DEC262162 DNT262162:DNY262162 DXP262162:DXU262162 EHL262162:EHQ262162 ERH262162:ERM262162 FBD262162:FBI262162 FKZ262162:FLE262162 FUV262162:FVA262162 GER262162:GEW262162 GON262162:GOS262162 GYJ262162:GYO262162 HIF262162:HIK262162 HSB262162:HSG262162 IBX262162:ICC262162 ILT262162:ILY262162 IVP262162:IVU262162 JFL262162:JFQ262162 JPH262162:JPM262162 JZD262162:JZI262162 KIZ262162:KJE262162 KSV262162:KTA262162 LCR262162:LCW262162 LMN262162:LMS262162 LWJ262162:LWO262162 MGF262162:MGK262162 MQB262162:MQG262162 MZX262162:NAC262162 NJT262162:NJY262162 NTP262162:NTU262162 ODL262162:ODQ262162 ONH262162:ONM262162 OXD262162:OXI262162 PGZ262162:PHE262162 PQV262162:PRA262162 QAR262162:QAW262162 QKN262162:QKS262162 QUJ262162:QUO262162 REF262162:REK262162 ROB262162:ROG262162 RXX262162:RYC262162 SHT262162:SHY262162 SRP262162:SRU262162 TBL262162:TBQ262162 TLH262162:TLM262162 TVD262162:TVI262162 UEZ262162:UFE262162 UOV262162:UPA262162 UYR262162:UYW262162 VIN262162:VIS262162 VSJ262162:VSO262162 WCF262162:WCK262162 WMB262162:WMG262162 WVX262162:WWC262162 P327698:U327698 JL327698:JQ327698 TH327698:TM327698 ADD327698:ADI327698 AMZ327698:ANE327698 AWV327698:AXA327698 BGR327698:BGW327698 BQN327698:BQS327698 CAJ327698:CAO327698 CKF327698:CKK327698 CUB327698:CUG327698 DDX327698:DEC327698 DNT327698:DNY327698 DXP327698:DXU327698 EHL327698:EHQ327698 ERH327698:ERM327698 FBD327698:FBI327698 FKZ327698:FLE327698 FUV327698:FVA327698 GER327698:GEW327698 GON327698:GOS327698 GYJ327698:GYO327698 HIF327698:HIK327698 HSB327698:HSG327698 IBX327698:ICC327698 ILT327698:ILY327698 IVP327698:IVU327698 JFL327698:JFQ327698 JPH327698:JPM327698 JZD327698:JZI327698 KIZ327698:KJE327698 KSV327698:KTA327698 LCR327698:LCW327698 LMN327698:LMS327698 LWJ327698:LWO327698 MGF327698:MGK327698 MQB327698:MQG327698 MZX327698:NAC327698 NJT327698:NJY327698 NTP327698:NTU327698 ODL327698:ODQ327698 ONH327698:ONM327698 OXD327698:OXI327698 PGZ327698:PHE327698 PQV327698:PRA327698 QAR327698:QAW327698 QKN327698:QKS327698 QUJ327698:QUO327698 REF327698:REK327698 ROB327698:ROG327698 RXX327698:RYC327698 SHT327698:SHY327698 SRP327698:SRU327698 TBL327698:TBQ327698 TLH327698:TLM327698 TVD327698:TVI327698 UEZ327698:UFE327698 UOV327698:UPA327698 UYR327698:UYW327698 VIN327698:VIS327698 VSJ327698:VSO327698 WCF327698:WCK327698 WMB327698:WMG327698 WVX327698:WWC327698 P393234:U393234 JL393234:JQ393234 TH393234:TM393234 ADD393234:ADI393234 AMZ393234:ANE393234 AWV393234:AXA393234 BGR393234:BGW393234 BQN393234:BQS393234 CAJ393234:CAO393234 CKF393234:CKK393234 CUB393234:CUG393234 DDX393234:DEC393234 DNT393234:DNY393234 DXP393234:DXU393234 EHL393234:EHQ393234 ERH393234:ERM393234 FBD393234:FBI393234 FKZ393234:FLE393234 FUV393234:FVA393234 GER393234:GEW393234 GON393234:GOS393234 GYJ393234:GYO393234 HIF393234:HIK393234 HSB393234:HSG393234 IBX393234:ICC393234 ILT393234:ILY393234 IVP393234:IVU393234 JFL393234:JFQ393234 JPH393234:JPM393234 JZD393234:JZI393234 KIZ393234:KJE393234 KSV393234:KTA393234 LCR393234:LCW393234 LMN393234:LMS393234 LWJ393234:LWO393234 MGF393234:MGK393234 MQB393234:MQG393234 MZX393234:NAC393234 NJT393234:NJY393234 NTP393234:NTU393234 ODL393234:ODQ393234 ONH393234:ONM393234 OXD393234:OXI393234 PGZ393234:PHE393234 PQV393234:PRA393234 QAR393234:QAW393234 QKN393234:QKS393234 QUJ393234:QUO393234 REF393234:REK393234 ROB393234:ROG393234 RXX393234:RYC393234 SHT393234:SHY393234 SRP393234:SRU393234 TBL393234:TBQ393234 TLH393234:TLM393234 TVD393234:TVI393234 UEZ393234:UFE393234 UOV393234:UPA393234 UYR393234:UYW393234 VIN393234:VIS393234 VSJ393234:VSO393234 WCF393234:WCK393234 WMB393234:WMG393234 WVX393234:WWC393234 P458770:U458770 JL458770:JQ458770 TH458770:TM458770 ADD458770:ADI458770 AMZ458770:ANE458770 AWV458770:AXA458770 BGR458770:BGW458770 BQN458770:BQS458770 CAJ458770:CAO458770 CKF458770:CKK458770 CUB458770:CUG458770 DDX458770:DEC458770 DNT458770:DNY458770 DXP458770:DXU458770 EHL458770:EHQ458770 ERH458770:ERM458770 FBD458770:FBI458770 FKZ458770:FLE458770 FUV458770:FVA458770 GER458770:GEW458770 GON458770:GOS458770 GYJ458770:GYO458770 HIF458770:HIK458770 HSB458770:HSG458770 IBX458770:ICC458770 ILT458770:ILY458770 IVP458770:IVU458770 JFL458770:JFQ458770 JPH458770:JPM458770 JZD458770:JZI458770 KIZ458770:KJE458770 KSV458770:KTA458770 LCR458770:LCW458770 LMN458770:LMS458770 LWJ458770:LWO458770 MGF458770:MGK458770 MQB458770:MQG458770 MZX458770:NAC458770 NJT458770:NJY458770 NTP458770:NTU458770 ODL458770:ODQ458770 ONH458770:ONM458770 OXD458770:OXI458770 PGZ458770:PHE458770 PQV458770:PRA458770 QAR458770:QAW458770 QKN458770:QKS458770 QUJ458770:QUO458770 REF458770:REK458770 ROB458770:ROG458770 RXX458770:RYC458770 SHT458770:SHY458770 SRP458770:SRU458770 TBL458770:TBQ458770 TLH458770:TLM458770 TVD458770:TVI458770 UEZ458770:UFE458770 UOV458770:UPA458770 UYR458770:UYW458770 VIN458770:VIS458770 VSJ458770:VSO458770 WCF458770:WCK458770 WMB458770:WMG458770 WVX458770:WWC458770 P524306:U524306 JL524306:JQ524306 TH524306:TM524306 ADD524306:ADI524306 AMZ524306:ANE524306 AWV524306:AXA524306 BGR524306:BGW524306 BQN524306:BQS524306 CAJ524306:CAO524306 CKF524306:CKK524306 CUB524306:CUG524306 DDX524306:DEC524306 DNT524306:DNY524306 DXP524306:DXU524306 EHL524306:EHQ524306 ERH524306:ERM524306 FBD524306:FBI524306 FKZ524306:FLE524306 FUV524306:FVA524306 GER524306:GEW524306 GON524306:GOS524306 GYJ524306:GYO524306 HIF524306:HIK524306 HSB524306:HSG524306 IBX524306:ICC524306 ILT524306:ILY524306 IVP524306:IVU524306 JFL524306:JFQ524306 JPH524306:JPM524306 JZD524306:JZI524306 KIZ524306:KJE524306 KSV524306:KTA524306 LCR524306:LCW524306 LMN524306:LMS524306 LWJ524306:LWO524306 MGF524306:MGK524306 MQB524306:MQG524306 MZX524306:NAC524306 NJT524306:NJY524306 NTP524306:NTU524306 ODL524306:ODQ524306 ONH524306:ONM524306 OXD524306:OXI524306 PGZ524306:PHE524306 PQV524306:PRA524306 QAR524306:QAW524306 QKN524306:QKS524306 QUJ524306:QUO524306 REF524306:REK524306 ROB524306:ROG524306 RXX524306:RYC524306 SHT524306:SHY524306 SRP524306:SRU524306 TBL524306:TBQ524306 TLH524306:TLM524306 TVD524306:TVI524306 UEZ524306:UFE524306 UOV524306:UPA524306 UYR524306:UYW524306 VIN524306:VIS524306 VSJ524306:VSO524306 WCF524306:WCK524306 WMB524306:WMG524306 WVX524306:WWC524306 P589842:U589842 JL589842:JQ589842 TH589842:TM589842 ADD589842:ADI589842 AMZ589842:ANE589842 AWV589842:AXA589842 BGR589842:BGW589842 BQN589842:BQS589842 CAJ589842:CAO589842 CKF589842:CKK589842 CUB589842:CUG589842 DDX589842:DEC589842 DNT589842:DNY589842 DXP589842:DXU589842 EHL589842:EHQ589842 ERH589842:ERM589842 FBD589842:FBI589842 FKZ589842:FLE589842 FUV589842:FVA589842 GER589842:GEW589842 GON589842:GOS589842 GYJ589842:GYO589842 HIF589842:HIK589842 HSB589842:HSG589842 IBX589842:ICC589842 ILT589842:ILY589842 IVP589842:IVU589842 JFL589842:JFQ589842 JPH589842:JPM589842 JZD589842:JZI589842 KIZ589842:KJE589842 KSV589842:KTA589842 LCR589842:LCW589842 LMN589842:LMS589842 LWJ589842:LWO589842 MGF589842:MGK589842 MQB589842:MQG589842 MZX589842:NAC589842 NJT589842:NJY589842 NTP589842:NTU589842 ODL589842:ODQ589842 ONH589842:ONM589842 OXD589842:OXI589842 PGZ589842:PHE589842 PQV589842:PRA589842 QAR589842:QAW589842 QKN589842:QKS589842 QUJ589842:QUO589842 REF589842:REK589842 ROB589842:ROG589842 RXX589842:RYC589842 SHT589842:SHY589842 SRP589842:SRU589842 TBL589842:TBQ589842 TLH589842:TLM589842 TVD589842:TVI589842 UEZ589842:UFE589842 UOV589842:UPA589842 UYR589842:UYW589842 VIN589842:VIS589842 VSJ589842:VSO589842 WCF589842:WCK589842 WMB589842:WMG589842 WVX589842:WWC589842 P655378:U655378 JL655378:JQ655378 TH655378:TM655378 ADD655378:ADI655378 AMZ655378:ANE655378 AWV655378:AXA655378 BGR655378:BGW655378 BQN655378:BQS655378 CAJ655378:CAO655378 CKF655378:CKK655378 CUB655378:CUG655378 DDX655378:DEC655378 DNT655378:DNY655378 DXP655378:DXU655378 EHL655378:EHQ655378 ERH655378:ERM655378 FBD655378:FBI655378 FKZ655378:FLE655378 FUV655378:FVA655378 GER655378:GEW655378 GON655378:GOS655378 GYJ655378:GYO655378 HIF655378:HIK655378 HSB655378:HSG655378 IBX655378:ICC655378 ILT655378:ILY655378 IVP655378:IVU655378 JFL655378:JFQ655378 JPH655378:JPM655378 JZD655378:JZI655378 KIZ655378:KJE655378 KSV655378:KTA655378 LCR655378:LCW655378 LMN655378:LMS655378 LWJ655378:LWO655378 MGF655378:MGK655378 MQB655378:MQG655378 MZX655378:NAC655378 NJT655378:NJY655378 NTP655378:NTU655378 ODL655378:ODQ655378 ONH655378:ONM655378 OXD655378:OXI655378 PGZ655378:PHE655378 PQV655378:PRA655378 QAR655378:QAW655378 QKN655378:QKS655378 QUJ655378:QUO655378 REF655378:REK655378 ROB655378:ROG655378 RXX655378:RYC655378 SHT655378:SHY655378 SRP655378:SRU655378 TBL655378:TBQ655378 TLH655378:TLM655378 TVD655378:TVI655378 UEZ655378:UFE655378 UOV655378:UPA655378 UYR655378:UYW655378 VIN655378:VIS655378 VSJ655378:VSO655378 WCF655378:WCK655378 WMB655378:WMG655378 WVX655378:WWC655378 P720914:U720914 JL720914:JQ720914 TH720914:TM720914 ADD720914:ADI720914 AMZ720914:ANE720914 AWV720914:AXA720914 BGR720914:BGW720914 BQN720914:BQS720914 CAJ720914:CAO720914 CKF720914:CKK720914 CUB720914:CUG720914 DDX720914:DEC720914 DNT720914:DNY720914 DXP720914:DXU720914 EHL720914:EHQ720914 ERH720914:ERM720914 FBD720914:FBI720914 FKZ720914:FLE720914 FUV720914:FVA720914 GER720914:GEW720914 GON720914:GOS720914 GYJ720914:GYO720914 HIF720914:HIK720914 HSB720914:HSG720914 IBX720914:ICC720914 ILT720914:ILY720914 IVP720914:IVU720914 JFL720914:JFQ720914 JPH720914:JPM720914 JZD720914:JZI720914 KIZ720914:KJE720914 KSV720914:KTA720914 LCR720914:LCW720914 LMN720914:LMS720914 LWJ720914:LWO720914 MGF720914:MGK720914 MQB720914:MQG720914 MZX720914:NAC720914 NJT720914:NJY720914 NTP720914:NTU720914 ODL720914:ODQ720914 ONH720914:ONM720914 OXD720914:OXI720914 PGZ720914:PHE720914 PQV720914:PRA720914 QAR720914:QAW720914 QKN720914:QKS720914 QUJ720914:QUO720914 REF720914:REK720914 ROB720914:ROG720914 RXX720914:RYC720914 SHT720914:SHY720914 SRP720914:SRU720914 TBL720914:TBQ720914 TLH720914:TLM720914 TVD720914:TVI720914 UEZ720914:UFE720914 UOV720914:UPA720914 UYR720914:UYW720914 VIN720914:VIS720914 VSJ720914:VSO720914 WCF720914:WCK720914 WMB720914:WMG720914 WVX720914:WWC720914 P786450:U786450 JL786450:JQ786450 TH786450:TM786450 ADD786450:ADI786450 AMZ786450:ANE786450 AWV786450:AXA786450 BGR786450:BGW786450 BQN786450:BQS786450 CAJ786450:CAO786450 CKF786450:CKK786450 CUB786450:CUG786450 DDX786450:DEC786450 DNT786450:DNY786450 DXP786450:DXU786450 EHL786450:EHQ786450 ERH786450:ERM786450 FBD786450:FBI786450 FKZ786450:FLE786450 FUV786450:FVA786450 GER786450:GEW786450 GON786450:GOS786450 GYJ786450:GYO786450 HIF786450:HIK786450 HSB786450:HSG786450 IBX786450:ICC786450 ILT786450:ILY786450 IVP786450:IVU786450 JFL786450:JFQ786450 JPH786450:JPM786450 JZD786450:JZI786450 KIZ786450:KJE786450 KSV786450:KTA786450 LCR786450:LCW786450 LMN786450:LMS786450 LWJ786450:LWO786450 MGF786450:MGK786450 MQB786450:MQG786450 MZX786450:NAC786450 NJT786450:NJY786450 NTP786450:NTU786450 ODL786450:ODQ786450 ONH786450:ONM786450 OXD786450:OXI786450 PGZ786450:PHE786450 PQV786450:PRA786450 QAR786450:QAW786450 QKN786450:QKS786450 QUJ786450:QUO786450 REF786450:REK786450 ROB786450:ROG786450 RXX786450:RYC786450 SHT786450:SHY786450 SRP786450:SRU786450 TBL786450:TBQ786450 TLH786450:TLM786450 TVD786450:TVI786450 UEZ786450:UFE786450 UOV786450:UPA786450 UYR786450:UYW786450 VIN786450:VIS786450 VSJ786450:VSO786450 WCF786450:WCK786450 WMB786450:WMG786450 WVX786450:WWC786450 P851986:U851986 JL851986:JQ851986 TH851986:TM851986 ADD851986:ADI851986 AMZ851986:ANE851986 AWV851986:AXA851986 BGR851986:BGW851986 BQN851986:BQS851986 CAJ851986:CAO851986 CKF851986:CKK851986 CUB851986:CUG851986 DDX851986:DEC851986 DNT851986:DNY851986 DXP851986:DXU851986 EHL851986:EHQ851986 ERH851986:ERM851986 FBD851986:FBI851986 FKZ851986:FLE851986 FUV851986:FVA851986 GER851986:GEW851986 GON851986:GOS851986 GYJ851986:GYO851986 HIF851986:HIK851986 HSB851986:HSG851986 IBX851986:ICC851986 ILT851986:ILY851986 IVP851986:IVU851986 JFL851986:JFQ851986 JPH851986:JPM851986 JZD851986:JZI851986 KIZ851986:KJE851986 KSV851986:KTA851986 LCR851986:LCW851986 LMN851986:LMS851986 LWJ851986:LWO851986 MGF851986:MGK851986 MQB851986:MQG851986 MZX851986:NAC851986 NJT851986:NJY851986 NTP851986:NTU851986 ODL851986:ODQ851986 ONH851986:ONM851986 OXD851986:OXI851986 PGZ851986:PHE851986 PQV851986:PRA851986 QAR851986:QAW851986 QKN851986:QKS851986 QUJ851986:QUO851986 REF851986:REK851986 ROB851986:ROG851986 RXX851986:RYC851986 SHT851986:SHY851986 SRP851986:SRU851986 TBL851986:TBQ851986 TLH851986:TLM851986 TVD851986:TVI851986 UEZ851986:UFE851986 UOV851986:UPA851986 UYR851986:UYW851986 VIN851986:VIS851986 VSJ851986:VSO851986 WCF851986:WCK851986 WMB851986:WMG851986 WVX851986:WWC851986 P917522:U917522 JL917522:JQ917522 TH917522:TM917522 ADD917522:ADI917522 AMZ917522:ANE917522 AWV917522:AXA917522 BGR917522:BGW917522 BQN917522:BQS917522 CAJ917522:CAO917522 CKF917522:CKK917522 CUB917522:CUG917522 DDX917522:DEC917522 DNT917522:DNY917522 DXP917522:DXU917522 EHL917522:EHQ917522 ERH917522:ERM917522 FBD917522:FBI917522 FKZ917522:FLE917522 FUV917522:FVA917522 GER917522:GEW917522 GON917522:GOS917522 GYJ917522:GYO917522 HIF917522:HIK917522 HSB917522:HSG917522 IBX917522:ICC917522 ILT917522:ILY917522 IVP917522:IVU917522 JFL917522:JFQ917522 JPH917522:JPM917522 JZD917522:JZI917522 KIZ917522:KJE917522 KSV917522:KTA917522 LCR917522:LCW917522 LMN917522:LMS917522 LWJ917522:LWO917522 MGF917522:MGK917522 MQB917522:MQG917522 MZX917522:NAC917522 NJT917522:NJY917522 NTP917522:NTU917522 ODL917522:ODQ917522 ONH917522:ONM917522 OXD917522:OXI917522 PGZ917522:PHE917522 PQV917522:PRA917522 QAR917522:QAW917522 QKN917522:QKS917522 QUJ917522:QUO917522 REF917522:REK917522 ROB917522:ROG917522 RXX917522:RYC917522 SHT917522:SHY917522 SRP917522:SRU917522 TBL917522:TBQ917522 TLH917522:TLM917522 TVD917522:TVI917522 UEZ917522:UFE917522 UOV917522:UPA917522 UYR917522:UYW917522 VIN917522:VIS917522 VSJ917522:VSO917522 WCF917522:WCK917522 WMB917522:WMG917522 WVX917522:WWC917522 P983058:U983058 JL983058:JQ983058 TH983058:TM983058 ADD983058:ADI983058 AMZ983058:ANE983058 AWV983058:AXA983058 BGR983058:BGW983058 BQN983058:BQS983058 CAJ983058:CAO983058 CKF983058:CKK983058 CUB983058:CUG983058 DDX983058:DEC983058 DNT983058:DNY983058 DXP983058:DXU983058 EHL983058:EHQ983058 ERH983058:ERM983058 FBD983058:FBI983058 FKZ983058:FLE983058 FUV983058:FVA983058 GER983058:GEW983058 GON983058:GOS983058 GYJ983058:GYO983058 HIF983058:HIK983058 HSB983058:HSG983058 IBX983058:ICC983058 ILT983058:ILY983058 IVP983058:IVU983058 JFL983058:JFQ983058 JPH983058:JPM983058 JZD983058:JZI983058 KIZ983058:KJE983058 KSV983058:KTA983058 LCR983058:LCW983058 LMN983058:LMS983058 LWJ983058:LWO983058 MGF983058:MGK983058 MQB983058:MQG983058 MZX983058:NAC983058 NJT983058:NJY983058 NTP983058:NTU983058 ODL983058:ODQ983058 ONH983058:ONM983058 OXD983058:OXI983058 PGZ983058:PHE983058 PQV983058:PRA983058 QAR983058:QAW983058 QKN983058:QKS983058 QUJ983058:QUO983058 REF983058:REK983058 ROB983058:ROG983058 RXX983058:RYC983058 SHT983058:SHY983058 SRP983058:SRU983058 TBL983058:TBQ983058 TLH983058:TLM983058 TVD983058:TVI983058 UEZ983058:UFE983058 UOV983058:UPA983058 UYR983058:UYW983058 VIN983058:VIS983058 VSJ983058:VSO983058 WCF983058:WCK983058 WMB983058:WMG983058 WVX983058:WWC983058" xr:uid="{DA0EE4F5-3AB1-4722-8BD9-EA52897CFFD5}">
      <formula1>$AI$14:$AI$20</formula1>
    </dataValidation>
    <dataValidation type="decimal" allowBlank="1" showInputMessage="1" showErrorMessage="1" sqref="J38 JF38 TB38 ACX38 AMT38 AWP38 BGL38 BQH38 CAD38 CJZ38 CTV38 DDR38 DNN38 DXJ38 EHF38 ERB38 FAX38 FKT38 FUP38 GEL38 GOH38 GYD38 HHZ38 HRV38 IBR38 ILN38 IVJ38 JFF38 JPB38 JYX38 KIT38 KSP38 LCL38 LMH38 LWD38 MFZ38 MPV38 MZR38 NJN38 NTJ38 ODF38 ONB38 OWX38 PGT38 PQP38 QAL38 QKH38 QUD38 RDZ38 RNV38 RXR38 SHN38 SRJ38 TBF38 TLB38 TUX38 UET38 UOP38 UYL38 VIH38 VSD38 WBZ38 WLV38 WVR38 J65574 JF65574 TB65574 ACX65574 AMT65574 AWP65574 BGL65574 BQH65574 CAD65574 CJZ65574 CTV65574 DDR65574 DNN65574 DXJ65574 EHF65574 ERB65574 FAX65574 FKT65574 FUP65574 GEL65574 GOH65574 GYD65574 HHZ65574 HRV65574 IBR65574 ILN65574 IVJ65574 JFF65574 JPB65574 JYX65574 KIT65574 KSP65574 LCL65574 LMH65574 LWD65574 MFZ65574 MPV65574 MZR65574 NJN65574 NTJ65574 ODF65574 ONB65574 OWX65574 PGT65574 PQP65574 QAL65574 QKH65574 QUD65574 RDZ65574 RNV65574 RXR65574 SHN65574 SRJ65574 TBF65574 TLB65574 TUX65574 UET65574 UOP65574 UYL65574 VIH65574 VSD65574 WBZ65574 WLV65574 WVR65574 J131110 JF131110 TB131110 ACX131110 AMT131110 AWP131110 BGL131110 BQH131110 CAD131110 CJZ131110 CTV131110 DDR131110 DNN131110 DXJ131110 EHF131110 ERB131110 FAX131110 FKT131110 FUP131110 GEL131110 GOH131110 GYD131110 HHZ131110 HRV131110 IBR131110 ILN131110 IVJ131110 JFF131110 JPB131110 JYX131110 KIT131110 KSP131110 LCL131110 LMH131110 LWD131110 MFZ131110 MPV131110 MZR131110 NJN131110 NTJ131110 ODF131110 ONB131110 OWX131110 PGT131110 PQP131110 QAL131110 QKH131110 QUD131110 RDZ131110 RNV131110 RXR131110 SHN131110 SRJ131110 TBF131110 TLB131110 TUX131110 UET131110 UOP131110 UYL131110 VIH131110 VSD131110 WBZ131110 WLV131110 WVR131110 J196646 JF196646 TB196646 ACX196646 AMT196646 AWP196646 BGL196646 BQH196646 CAD196646 CJZ196646 CTV196646 DDR196646 DNN196646 DXJ196646 EHF196646 ERB196646 FAX196646 FKT196646 FUP196646 GEL196646 GOH196646 GYD196646 HHZ196646 HRV196646 IBR196646 ILN196646 IVJ196646 JFF196646 JPB196646 JYX196646 KIT196646 KSP196646 LCL196646 LMH196646 LWD196646 MFZ196646 MPV196646 MZR196646 NJN196646 NTJ196646 ODF196646 ONB196646 OWX196646 PGT196646 PQP196646 QAL196646 QKH196646 QUD196646 RDZ196646 RNV196646 RXR196646 SHN196646 SRJ196646 TBF196646 TLB196646 TUX196646 UET196646 UOP196646 UYL196646 VIH196646 VSD196646 WBZ196646 WLV196646 WVR196646 J262182 JF262182 TB262182 ACX262182 AMT262182 AWP262182 BGL262182 BQH262182 CAD262182 CJZ262182 CTV262182 DDR262182 DNN262182 DXJ262182 EHF262182 ERB262182 FAX262182 FKT262182 FUP262182 GEL262182 GOH262182 GYD262182 HHZ262182 HRV262182 IBR262182 ILN262182 IVJ262182 JFF262182 JPB262182 JYX262182 KIT262182 KSP262182 LCL262182 LMH262182 LWD262182 MFZ262182 MPV262182 MZR262182 NJN262182 NTJ262182 ODF262182 ONB262182 OWX262182 PGT262182 PQP262182 QAL262182 QKH262182 QUD262182 RDZ262182 RNV262182 RXR262182 SHN262182 SRJ262182 TBF262182 TLB262182 TUX262182 UET262182 UOP262182 UYL262182 VIH262182 VSD262182 WBZ262182 WLV262182 WVR262182 J327718 JF327718 TB327718 ACX327718 AMT327718 AWP327718 BGL327718 BQH327718 CAD327718 CJZ327718 CTV327718 DDR327718 DNN327718 DXJ327718 EHF327718 ERB327718 FAX327718 FKT327718 FUP327718 GEL327718 GOH327718 GYD327718 HHZ327718 HRV327718 IBR327718 ILN327718 IVJ327718 JFF327718 JPB327718 JYX327718 KIT327718 KSP327718 LCL327718 LMH327718 LWD327718 MFZ327718 MPV327718 MZR327718 NJN327718 NTJ327718 ODF327718 ONB327718 OWX327718 PGT327718 PQP327718 QAL327718 QKH327718 QUD327718 RDZ327718 RNV327718 RXR327718 SHN327718 SRJ327718 TBF327718 TLB327718 TUX327718 UET327718 UOP327718 UYL327718 VIH327718 VSD327718 WBZ327718 WLV327718 WVR327718 J393254 JF393254 TB393254 ACX393254 AMT393254 AWP393254 BGL393254 BQH393254 CAD393254 CJZ393254 CTV393254 DDR393254 DNN393254 DXJ393254 EHF393254 ERB393254 FAX393254 FKT393254 FUP393254 GEL393254 GOH393254 GYD393254 HHZ393254 HRV393254 IBR393254 ILN393254 IVJ393254 JFF393254 JPB393254 JYX393254 KIT393254 KSP393254 LCL393254 LMH393254 LWD393254 MFZ393254 MPV393254 MZR393254 NJN393254 NTJ393254 ODF393254 ONB393254 OWX393254 PGT393254 PQP393254 QAL393254 QKH393254 QUD393254 RDZ393254 RNV393254 RXR393254 SHN393254 SRJ393254 TBF393254 TLB393254 TUX393254 UET393254 UOP393254 UYL393254 VIH393254 VSD393254 WBZ393254 WLV393254 WVR393254 J458790 JF458790 TB458790 ACX458790 AMT458790 AWP458790 BGL458790 BQH458790 CAD458790 CJZ458790 CTV458790 DDR458790 DNN458790 DXJ458790 EHF458790 ERB458790 FAX458790 FKT458790 FUP458790 GEL458790 GOH458790 GYD458790 HHZ458790 HRV458790 IBR458790 ILN458790 IVJ458790 JFF458790 JPB458790 JYX458790 KIT458790 KSP458790 LCL458790 LMH458790 LWD458790 MFZ458790 MPV458790 MZR458790 NJN458790 NTJ458790 ODF458790 ONB458790 OWX458790 PGT458790 PQP458790 QAL458790 QKH458790 QUD458790 RDZ458790 RNV458790 RXR458790 SHN458790 SRJ458790 TBF458790 TLB458790 TUX458790 UET458790 UOP458790 UYL458790 VIH458790 VSD458790 WBZ458790 WLV458790 WVR458790 J524326 JF524326 TB524326 ACX524326 AMT524326 AWP524326 BGL524326 BQH524326 CAD524326 CJZ524326 CTV524326 DDR524326 DNN524326 DXJ524326 EHF524326 ERB524326 FAX524326 FKT524326 FUP524326 GEL524326 GOH524326 GYD524326 HHZ524326 HRV524326 IBR524326 ILN524326 IVJ524326 JFF524326 JPB524326 JYX524326 KIT524326 KSP524326 LCL524326 LMH524326 LWD524326 MFZ524326 MPV524326 MZR524326 NJN524326 NTJ524326 ODF524326 ONB524326 OWX524326 PGT524326 PQP524326 QAL524326 QKH524326 QUD524326 RDZ524326 RNV524326 RXR524326 SHN524326 SRJ524326 TBF524326 TLB524326 TUX524326 UET524326 UOP524326 UYL524326 VIH524326 VSD524326 WBZ524326 WLV524326 WVR524326 J589862 JF589862 TB589862 ACX589862 AMT589862 AWP589862 BGL589862 BQH589862 CAD589862 CJZ589862 CTV589862 DDR589862 DNN589862 DXJ589862 EHF589862 ERB589862 FAX589862 FKT589862 FUP589862 GEL589862 GOH589862 GYD589862 HHZ589862 HRV589862 IBR589862 ILN589862 IVJ589862 JFF589862 JPB589862 JYX589862 KIT589862 KSP589862 LCL589862 LMH589862 LWD589862 MFZ589862 MPV589862 MZR589862 NJN589862 NTJ589862 ODF589862 ONB589862 OWX589862 PGT589862 PQP589862 QAL589862 QKH589862 QUD589862 RDZ589862 RNV589862 RXR589862 SHN589862 SRJ589862 TBF589862 TLB589862 TUX589862 UET589862 UOP589862 UYL589862 VIH589862 VSD589862 WBZ589862 WLV589862 WVR589862 J655398 JF655398 TB655398 ACX655398 AMT655398 AWP655398 BGL655398 BQH655398 CAD655398 CJZ655398 CTV655398 DDR655398 DNN655398 DXJ655398 EHF655398 ERB655398 FAX655398 FKT655398 FUP655398 GEL655398 GOH655398 GYD655398 HHZ655398 HRV655398 IBR655398 ILN655398 IVJ655398 JFF655398 JPB655398 JYX655398 KIT655398 KSP655398 LCL655398 LMH655398 LWD655398 MFZ655398 MPV655398 MZR655398 NJN655398 NTJ655398 ODF655398 ONB655398 OWX655398 PGT655398 PQP655398 QAL655398 QKH655398 QUD655398 RDZ655398 RNV655398 RXR655398 SHN655398 SRJ655398 TBF655398 TLB655398 TUX655398 UET655398 UOP655398 UYL655398 VIH655398 VSD655398 WBZ655398 WLV655398 WVR655398 J720934 JF720934 TB720934 ACX720934 AMT720934 AWP720934 BGL720934 BQH720934 CAD720934 CJZ720934 CTV720934 DDR720934 DNN720934 DXJ720934 EHF720934 ERB720934 FAX720934 FKT720934 FUP720934 GEL720934 GOH720934 GYD720934 HHZ720934 HRV720934 IBR720934 ILN720934 IVJ720934 JFF720934 JPB720934 JYX720934 KIT720934 KSP720934 LCL720934 LMH720934 LWD720934 MFZ720934 MPV720934 MZR720934 NJN720934 NTJ720934 ODF720934 ONB720934 OWX720934 PGT720934 PQP720934 QAL720934 QKH720934 QUD720934 RDZ720934 RNV720934 RXR720934 SHN720934 SRJ720934 TBF720934 TLB720934 TUX720934 UET720934 UOP720934 UYL720934 VIH720934 VSD720934 WBZ720934 WLV720934 WVR720934 J786470 JF786470 TB786470 ACX786470 AMT786470 AWP786470 BGL786470 BQH786470 CAD786470 CJZ786470 CTV786470 DDR786470 DNN786470 DXJ786470 EHF786470 ERB786470 FAX786470 FKT786470 FUP786470 GEL786470 GOH786470 GYD786470 HHZ786470 HRV786470 IBR786470 ILN786470 IVJ786470 JFF786470 JPB786470 JYX786470 KIT786470 KSP786470 LCL786470 LMH786470 LWD786470 MFZ786470 MPV786470 MZR786470 NJN786470 NTJ786470 ODF786470 ONB786470 OWX786470 PGT786470 PQP786470 QAL786470 QKH786470 QUD786470 RDZ786470 RNV786470 RXR786470 SHN786470 SRJ786470 TBF786470 TLB786470 TUX786470 UET786470 UOP786470 UYL786470 VIH786470 VSD786470 WBZ786470 WLV786470 WVR786470 J852006 JF852006 TB852006 ACX852006 AMT852006 AWP852006 BGL852006 BQH852006 CAD852006 CJZ852006 CTV852006 DDR852006 DNN852006 DXJ852006 EHF852006 ERB852006 FAX852006 FKT852006 FUP852006 GEL852006 GOH852006 GYD852006 HHZ852006 HRV852006 IBR852006 ILN852006 IVJ852006 JFF852006 JPB852006 JYX852006 KIT852006 KSP852006 LCL852006 LMH852006 LWD852006 MFZ852006 MPV852006 MZR852006 NJN852006 NTJ852006 ODF852006 ONB852006 OWX852006 PGT852006 PQP852006 QAL852006 QKH852006 QUD852006 RDZ852006 RNV852006 RXR852006 SHN852006 SRJ852006 TBF852006 TLB852006 TUX852006 UET852006 UOP852006 UYL852006 VIH852006 VSD852006 WBZ852006 WLV852006 WVR852006 J917542 JF917542 TB917542 ACX917542 AMT917542 AWP917542 BGL917542 BQH917542 CAD917542 CJZ917542 CTV917542 DDR917542 DNN917542 DXJ917542 EHF917542 ERB917542 FAX917542 FKT917542 FUP917542 GEL917542 GOH917542 GYD917542 HHZ917542 HRV917542 IBR917542 ILN917542 IVJ917542 JFF917542 JPB917542 JYX917542 KIT917542 KSP917542 LCL917542 LMH917542 LWD917542 MFZ917542 MPV917542 MZR917542 NJN917542 NTJ917542 ODF917542 ONB917542 OWX917542 PGT917542 PQP917542 QAL917542 QKH917542 QUD917542 RDZ917542 RNV917542 RXR917542 SHN917542 SRJ917542 TBF917542 TLB917542 TUX917542 UET917542 UOP917542 UYL917542 VIH917542 VSD917542 WBZ917542 WLV917542 WVR917542 J983078 JF983078 TB983078 ACX983078 AMT983078 AWP983078 BGL983078 BQH983078 CAD983078 CJZ983078 CTV983078 DDR983078 DNN983078 DXJ983078 EHF983078 ERB983078 FAX983078 FKT983078 FUP983078 GEL983078 GOH983078 GYD983078 HHZ983078 HRV983078 IBR983078 ILN983078 IVJ983078 JFF983078 JPB983078 JYX983078 KIT983078 KSP983078 LCL983078 LMH983078 LWD983078 MFZ983078 MPV983078 MZR983078 NJN983078 NTJ983078 ODF983078 ONB983078 OWX983078 PGT983078 PQP983078 QAL983078 QKH983078 QUD983078 RDZ983078 RNV983078 RXR983078 SHN983078 SRJ983078 TBF983078 TLB983078 TUX983078 UET983078 UOP983078 UYL983078 VIH983078 VSD983078 WBZ983078 WLV983078 WVR983078 T38 JP38 TL38 ADH38 AND38 AWZ38 BGV38 BQR38 CAN38 CKJ38 CUF38 DEB38 DNX38 DXT38 EHP38 ERL38 FBH38 FLD38 FUZ38 GEV38 GOR38 GYN38 HIJ38 HSF38 ICB38 ILX38 IVT38 JFP38 JPL38 JZH38 KJD38 KSZ38 LCV38 LMR38 LWN38 MGJ38 MQF38 NAB38 NJX38 NTT38 ODP38 ONL38 OXH38 PHD38 PQZ38 QAV38 QKR38 QUN38 REJ38 ROF38 RYB38 SHX38 SRT38 TBP38 TLL38 TVH38 UFD38 UOZ38 UYV38 VIR38 VSN38 WCJ38 WMF38 WWB38 T65574 JP65574 TL65574 ADH65574 AND65574 AWZ65574 BGV65574 BQR65574 CAN65574 CKJ65574 CUF65574 DEB65574 DNX65574 DXT65574 EHP65574 ERL65574 FBH65574 FLD65574 FUZ65574 GEV65574 GOR65574 GYN65574 HIJ65574 HSF65574 ICB65574 ILX65574 IVT65574 JFP65574 JPL65574 JZH65574 KJD65574 KSZ65574 LCV65574 LMR65574 LWN65574 MGJ65574 MQF65574 NAB65574 NJX65574 NTT65574 ODP65574 ONL65574 OXH65574 PHD65574 PQZ65574 QAV65574 QKR65574 QUN65574 REJ65574 ROF65574 RYB65574 SHX65574 SRT65574 TBP65574 TLL65574 TVH65574 UFD65574 UOZ65574 UYV65574 VIR65574 VSN65574 WCJ65574 WMF65574 WWB65574 T131110 JP131110 TL131110 ADH131110 AND131110 AWZ131110 BGV131110 BQR131110 CAN131110 CKJ131110 CUF131110 DEB131110 DNX131110 DXT131110 EHP131110 ERL131110 FBH131110 FLD131110 FUZ131110 GEV131110 GOR131110 GYN131110 HIJ131110 HSF131110 ICB131110 ILX131110 IVT131110 JFP131110 JPL131110 JZH131110 KJD131110 KSZ131110 LCV131110 LMR131110 LWN131110 MGJ131110 MQF131110 NAB131110 NJX131110 NTT131110 ODP131110 ONL131110 OXH131110 PHD131110 PQZ131110 QAV131110 QKR131110 QUN131110 REJ131110 ROF131110 RYB131110 SHX131110 SRT131110 TBP131110 TLL131110 TVH131110 UFD131110 UOZ131110 UYV131110 VIR131110 VSN131110 WCJ131110 WMF131110 WWB131110 T196646 JP196646 TL196646 ADH196646 AND196646 AWZ196646 BGV196646 BQR196646 CAN196646 CKJ196646 CUF196646 DEB196646 DNX196646 DXT196646 EHP196646 ERL196646 FBH196646 FLD196646 FUZ196646 GEV196646 GOR196646 GYN196646 HIJ196646 HSF196646 ICB196646 ILX196646 IVT196646 JFP196646 JPL196646 JZH196646 KJD196646 KSZ196646 LCV196646 LMR196646 LWN196646 MGJ196646 MQF196646 NAB196646 NJX196646 NTT196646 ODP196646 ONL196646 OXH196646 PHD196646 PQZ196646 QAV196646 QKR196646 QUN196646 REJ196646 ROF196646 RYB196646 SHX196646 SRT196646 TBP196646 TLL196646 TVH196646 UFD196646 UOZ196646 UYV196646 VIR196646 VSN196646 WCJ196646 WMF196646 WWB196646 T262182 JP262182 TL262182 ADH262182 AND262182 AWZ262182 BGV262182 BQR262182 CAN262182 CKJ262182 CUF262182 DEB262182 DNX262182 DXT262182 EHP262182 ERL262182 FBH262182 FLD262182 FUZ262182 GEV262182 GOR262182 GYN262182 HIJ262182 HSF262182 ICB262182 ILX262182 IVT262182 JFP262182 JPL262182 JZH262182 KJD262182 KSZ262182 LCV262182 LMR262182 LWN262182 MGJ262182 MQF262182 NAB262182 NJX262182 NTT262182 ODP262182 ONL262182 OXH262182 PHD262182 PQZ262182 QAV262182 QKR262182 QUN262182 REJ262182 ROF262182 RYB262182 SHX262182 SRT262182 TBP262182 TLL262182 TVH262182 UFD262182 UOZ262182 UYV262182 VIR262182 VSN262182 WCJ262182 WMF262182 WWB262182 T327718 JP327718 TL327718 ADH327718 AND327718 AWZ327718 BGV327718 BQR327718 CAN327718 CKJ327718 CUF327718 DEB327718 DNX327718 DXT327718 EHP327718 ERL327718 FBH327718 FLD327718 FUZ327718 GEV327718 GOR327718 GYN327718 HIJ327718 HSF327718 ICB327718 ILX327718 IVT327718 JFP327718 JPL327718 JZH327718 KJD327718 KSZ327718 LCV327718 LMR327718 LWN327718 MGJ327718 MQF327718 NAB327718 NJX327718 NTT327718 ODP327718 ONL327718 OXH327718 PHD327718 PQZ327718 QAV327718 QKR327718 QUN327718 REJ327718 ROF327718 RYB327718 SHX327718 SRT327718 TBP327718 TLL327718 TVH327718 UFD327718 UOZ327718 UYV327718 VIR327718 VSN327718 WCJ327718 WMF327718 WWB327718 T393254 JP393254 TL393254 ADH393254 AND393254 AWZ393254 BGV393254 BQR393254 CAN393254 CKJ393254 CUF393254 DEB393254 DNX393254 DXT393254 EHP393254 ERL393254 FBH393254 FLD393254 FUZ393254 GEV393254 GOR393254 GYN393254 HIJ393254 HSF393254 ICB393254 ILX393254 IVT393254 JFP393254 JPL393254 JZH393254 KJD393254 KSZ393254 LCV393254 LMR393254 LWN393254 MGJ393254 MQF393254 NAB393254 NJX393254 NTT393254 ODP393254 ONL393254 OXH393254 PHD393254 PQZ393254 QAV393254 QKR393254 QUN393254 REJ393254 ROF393254 RYB393254 SHX393254 SRT393254 TBP393254 TLL393254 TVH393254 UFD393254 UOZ393254 UYV393254 VIR393254 VSN393254 WCJ393254 WMF393254 WWB393254 T458790 JP458790 TL458790 ADH458790 AND458790 AWZ458790 BGV458790 BQR458790 CAN458790 CKJ458790 CUF458790 DEB458790 DNX458790 DXT458790 EHP458790 ERL458790 FBH458790 FLD458790 FUZ458790 GEV458790 GOR458790 GYN458790 HIJ458790 HSF458790 ICB458790 ILX458790 IVT458790 JFP458790 JPL458790 JZH458790 KJD458790 KSZ458790 LCV458790 LMR458790 LWN458790 MGJ458790 MQF458790 NAB458790 NJX458790 NTT458790 ODP458790 ONL458790 OXH458790 PHD458790 PQZ458790 QAV458790 QKR458790 QUN458790 REJ458790 ROF458790 RYB458790 SHX458790 SRT458790 TBP458790 TLL458790 TVH458790 UFD458790 UOZ458790 UYV458790 VIR458790 VSN458790 WCJ458790 WMF458790 WWB458790 T524326 JP524326 TL524326 ADH524326 AND524326 AWZ524326 BGV524326 BQR524326 CAN524326 CKJ524326 CUF524326 DEB524326 DNX524326 DXT524326 EHP524326 ERL524326 FBH524326 FLD524326 FUZ524326 GEV524326 GOR524326 GYN524326 HIJ524326 HSF524326 ICB524326 ILX524326 IVT524326 JFP524326 JPL524326 JZH524326 KJD524326 KSZ524326 LCV524326 LMR524326 LWN524326 MGJ524326 MQF524326 NAB524326 NJX524326 NTT524326 ODP524326 ONL524326 OXH524326 PHD524326 PQZ524326 QAV524326 QKR524326 QUN524326 REJ524326 ROF524326 RYB524326 SHX524326 SRT524326 TBP524326 TLL524326 TVH524326 UFD524326 UOZ524326 UYV524326 VIR524326 VSN524326 WCJ524326 WMF524326 WWB524326 T589862 JP589862 TL589862 ADH589862 AND589862 AWZ589862 BGV589862 BQR589862 CAN589862 CKJ589862 CUF589862 DEB589862 DNX589862 DXT589862 EHP589862 ERL589862 FBH589862 FLD589862 FUZ589862 GEV589862 GOR589862 GYN589862 HIJ589862 HSF589862 ICB589862 ILX589862 IVT589862 JFP589862 JPL589862 JZH589862 KJD589862 KSZ589862 LCV589862 LMR589862 LWN589862 MGJ589862 MQF589862 NAB589862 NJX589862 NTT589862 ODP589862 ONL589862 OXH589862 PHD589862 PQZ589862 QAV589862 QKR589862 QUN589862 REJ589862 ROF589862 RYB589862 SHX589862 SRT589862 TBP589862 TLL589862 TVH589862 UFD589862 UOZ589862 UYV589862 VIR589862 VSN589862 WCJ589862 WMF589862 WWB589862 T655398 JP655398 TL655398 ADH655398 AND655398 AWZ655398 BGV655398 BQR655398 CAN655398 CKJ655398 CUF655398 DEB655398 DNX655398 DXT655398 EHP655398 ERL655398 FBH655398 FLD655398 FUZ655398 GEV655398 GOR655398 GYN655398 HIJ655398 HSF655398 ICB655398 ILX655398 IVT655398 JFP655398 JPL655398 JZH655398 KJD655398 KSZ655398 LCV655398 LMR655398 LWN655398 MGJ655398 MQF655398 NAB655398 NJX655398 NTT655398 ODP655398 ONL655398 OXH655398 PHD655398 PQZ655398 QAV655398 QKR655398 QUN655398 REJ655398 ROF655398 RYB655398 SHX655398 SRT655398 TBP655398 TLL655398 TVH655398 UFD655398 UOZ655398 UYV655398 VIR655398 VSN655398 WCJ655398 WMF655398 WWB655398 T720934 JP720934 TL720934 ADH720934 AND720934 AWZ720934 BGV720934 BQR720934 CAN720934 CKJ720934 CUF720934 DEB720934 DNX720934 DXT720934 EHP720934 ERL720934 FBH720934 FLD720934 FUZ720934 GEV720934 GOR720934 GYN720934 HIJ720934 HSF720934 ICB720934 ILX720934 IVT720934 JFP720934 JPL720934 JZH720934 KJD720934 KSZ720934 LCV720934 LMR720934 LWN720934 MGJ720934 MQF720934 NAB720934 NJX720934 NTT720934 ODP720934 ONL720934 OXH720934 PHD720934 PQZ720934 QAV720934 QKR720934 QUN720934 REJ720934 ROF720934 RYB720934 SHX720934 SRT720934 TBP720934 TLL720934 TVH720934 UFD720934 UOZ720934 UYV720934 VIR720934 VSN720934 WCJ720934 WMF720934 WWB720934 T786470 JP786470 TL786470 ADH786470 AND786470 AWZ786470 BGV786470 BQR786470 CAN786470 CKJ786470 CUF786470 DEB786470 DNX786470 DXT786470 EHP786470 ERL786470 FBH786470 FLD786470 FUZ786470 GEV786470 GOR786470 GYN786470 HIJ786470 HSF786470 ICB786470 ILX786470 IVT786470 JFP786470 JPL786470 JZH786470 KJD786470 KSZ786470 LCV786470 LMR786470 LWN786470 MGJ786470 MQF786470 NAB786470 NJX786470 NTT786470 ODP786470 ONL786470 OXH786470 PHD786470 PQZ786470 QAV786470 QKR786470 QUN786470 REJ786470 ROF786470 RYB786470 SHX786470 SRT786470 TBP786470 TLL786470 TVH786470 UFD786470 UOZ786470 UYV786470 VIR786470 VSN786470 WCJ786470 WMF786470 WWB786470 T852006 JP852006 TL852006 ADH852006 AND852006 AWZ852006 BGV852006 BQR852006 CAN852006 CKJ852006 CUF852006 DEB852006 DNX852006 DXT852006 EHP852006 ERL852006 FBH852006 FLD852006 FUZ852006 GEV852006 GOR852006 GYN852006 HIJ852006 HSF852006 ICB852006 ILX852006 IVT852006 JFP852006 JPL852006 JZH852006 KJD852006 KSZ852006 LCV852006 LMR852006 LWN852006 MGJ852006 MQF852006 NAB852006 NJX852006 NTT852006 ODP852006 ONL852006 OXH852006 PHD852006 PQZ852006 QAV852006 QKR852006 QUN852006 REJ852006 ROF852006 RYB852006 SHX852006 SRT852006 TBP852006 TLL852006 TVH852006 UFD852006 UOZ852006 UYV852006 VIR852006 VSN852006 WCJ852006 WMF852006 WWB852006 T917542 JP917542 TL917542 ADH917542 AND917542 AWZ917542 BGV917542 BQR917542 CAN917542 CKJ917542 CUF917542 DEB917542 DNX917542 DXT917542 EHP917542 ERL917542 FBH917542 FLD917542 FUZ917542 GEV917542 GOR917542 GYN917542 HIJ917542 HSF917542 ICB917542 ILX917542 IVT917542 JFP917542 JPL917542 JZH917542 KJD917542 KSZ917542 LCV917542 LMR917542 LWN917542 MGJ917542 MQF917542 NAB917542 NJX917542 NTT917542 ODP917542 ONL917542 OXH917542 PHD917542 PQZ917542 QAV917542 QKR917542 QUN917542 REJ917542 ROF917542 RYB917542 SHX917542 SRT917542 TBP917542 TLL917542 TVH917542 UFD917542 UOZ917542 UYV917542 VIR917542 VSN917542 WCJ917542 WMF917542 WWB917542 T983078 JP983078 TL983078 ADH983078 AND983078 AWZ983078 BGV983078 BQR983078 CAN983078 CKJ983078 CUF983078 DEB983078 DNX983078 DXT983078 EHP983078 ERL983078 FBH983078 FLD983078 FUZ983078 GEV983078 GOR983078 GYN983078 HIJ983078 HSF983078 ICB983078 ILX983078 IVT983078 JFP983078 JPL983078 JZH983078 KJD983078 KSZ983078 LCV983078 LMR983078 LWN983078 MGJ983078 MQF983078 NAB983078 NJX983078 NTT983078 ODP983078 ONL983078 OXH983078 PHD983078 PQZ983078 QAV983078 QKR983078 QUN983078 REJ983078 ROF983078 RYB983078 SHX983078 SRT983078 TBP983078 TLL983078 TVH983078 UFD983078 UOZ983078 UYV983078 VIR983078 VSN983078 WCJ983078 WMF983078 WWB983078 AD38 JZ38 TV38 ADR38 ANN38 AXJ38 BHF38 BRB38 CAX38 CKT38 CUP38 DEL38 DOH38 DYD38 EHZ38 ERV38 FBR38 FLN38 FVJ38 GFF38 GPB38 GYX38 HIT38 HSP38 ICL38 IMH38 IWD38 JFZ38 JPV38 JZR38 KJN38 KTJ38 LDF38 LNB38 LWX38 MGT38 MQP38 NAL38 NKH38 NUD38 ODZ38 ONV38 OXR38 PHN38 PRJ38 QBF38 QLB38 QUX38 RET38 ROP38 RYL38 SIH38 SSD38 TBZ38 TLV38 TVR38 UFN38 UPJ38 UZF38 VJB38 VSX38 WCT38 WMP38 WWL38 AD65574 JZ65574 TV65574 ADR65574 ANN65574 AXJ65574 BHF65574 BRB65574 CAX65574 CKT65574 CUP65574 DEL65574 DOH65574 DYD65574 EHZ65574 ERV65574 FBR65574 FLN65574 FVJ65574 GFF65574 GPB65574 GYX65574 HIT65574 HSP65574 ICL65574 IMH65574 IWD65574 JFZ65574 JPV65574 JZR65574 KJN65574 KTJ65574 LDF65574 LNB65574 LWX65574 MGT65574 MQP65574 NAL65574 NKH65574 NUD65574 ODZ65574 ONV65574 OXR65574 PHN65574 PRJ65574 QBF65574 QLB65574 QUX65574 RET65574 ROP65574 RYL65574 SIH65574 SSD65574 TBZ65574 TLV65574 TVR65574 UFN65574 UPJ65574 UZF65574 VJB65574 VSX65574 WCT65574 WMP65574 WWL65574 AD131110 JZ131110 TV131110 ADR131110 ANN131110 AXJ131110 BHF131110 BRB131110 CAX131110 CKT131110 CUP131110 DEL131110 DOH131110 DYD131110 EHZ131110 ERV131110 FBR131110 FLN131110 FVJ131110 GFF131110 GPB131110 GYX131110 HIT131110 HSP131110 ICL131110 IMH131110 IWD131110 JFZ131110 JPV131110 JZR131110 KJN131110 KTJ131110 LDF131110 LNB131110 LWX131110 MGT131110 MQP131110 NAL131110 NKH131110 NUD131110 ODZ131110 ONV131110 OXR131110 PHN131110 PRJ131110 QBF131110 QLB131110 QUX131110 RET131110 ROP131110 RYL131110 SIH131110 SSD131110 TBZ131110 TLV131110 TVR131110 UFN131110 UPJ131110 UZF131110 VJB131110 VSX131110 WCT131110 WMP131110 WWL131110 AD196646 JZ196646 TV196646 ADR196646 ANN196646 AXJ196646 BHF196646 BRB196646 CAX196646 CKT196646 CUP196646 DEL196646 DOH196646 DYD196646 EHZ196646 ERV196646 FBR196646 FLN196646 FVJ196646 GFF196646 GPB196646 GYX196646 HIT196646 HSP196646 ICL196646 IMH196646 IWD196646 JFZ196646 JPV196646 JZR196646 KJN196646 KTJ196646 LDF196646 LNB196646 LWX196646 MGT196646 MQP196646 NAL196646 NKH196646 NUD196646 ODZ196646 ONV196646 OXR196646 PHN196646 PRJ196646 QBF196646 QLB196646 QUX196646 RET196646 ROP196646 RYL196646 SIH196646 SSD196646 TBZ196646 TLV196646 TVR196646 UFN196646 UPJ196646 UZF196646 VJB196646 VSX196646 WCT196646 WMP196646 WWL196646 AD262182 JZ262182 TV262182 ADR262182 ANN262182 AXJ262182 BHF262182 BRB262182 CAX262182 CKT262182 CUP262182 DEL262182 DOH262182 DYD262182 EHZ262182 ERV262182 FBR262182 FLN262182 FVJ262182 GFF262182 GPB262182 GYX262182 HIT262182 HSP262182 ICL262182 IMH262182 IWD262182 JFZ262182 JPV262182 JZR262182 KJN262182 KTJ262182 LDF262182 LNB262182 LWX262182 MGT262182 MQP262182 NAL262182 NKH262182 NUD262182 ODZ262182 ONV262182 OXR262182 PHN262182 PRJ262182 QBF262182 QLB262182 QUX262182 RET262182 ROP262182 RYL262182 SIH262182 SSD262182 TBZ262182 TLV262182 TVR262182 UFN262182 UPJ262182 UZF262182 VJB262182 VSX262182 WCT262182 WMP262182 WWL262182 AD327718 JZ327718 TV327718 ADR327718 ANN327718 AXJ327718 BHF327718 BRB327718 CAX327718 CKT327718 CUP327718 DEL327718 DOH327718 DYD327718 EHZ327718 ERV327718 FBR327718 FLN327718 FVJ327718 GFF327718 GPB327718 GYX327718 HIT327718 HSP327718 ICL327718 IMH327718 IWD327718 JFZ327718 JPV327718 JZR327718 KJN327718 KTJ327718 LDF327718 LNB327718 LWX327718 MGT327718 MQP327718 NAL327718 NKH327718 NUD327718 ODZ327718 ONV327718 OXR327718 PHN327718 PRJ327718 QBF327718 QLB327718 QUX327718 RET327718 ROP327718 RYL327718 SIH327718 SSD327718 TBZ327718 TLV327718 TVR327718 UFN327718 UPJ327718 UZF327718 VJB327718 VSX327718 WCT327718 WMP327718 WWL327718 AD393254 JZ393254 TV393254 ADR393254 ANN393254 AXJ393254 BHF393254 BRB393254 CAX393254 CKT393254 CUP393254 DEL393254 DOH393254 DYD393254 EHZ393254 ERV393254 FBR393254 FLN393254 FVJ393254 GFF393254 GPB393254 GYX393254 HIT393254 HSP393254 ICL393254 IMH393254 IWD393254 JFZ393254 JPV393254 JZR393254 KJN393254 KTJ393254 LDF393254 LNB393254 LWX393254 MGT393254 MQP393254 NAL393254 NKH393254 NUD393254 ODZ393254 ONV393254 OXR393254 PHN393254 PRJ393254 QBF393254 QLB393254 QUX393254 RET393254 ROP393254 RYL393254 SIH393254 SSD393254 TBZ393254 TLV393254 TVR393254 UFN393254 UPJ393254 UZF393254 VJB393254 VSX393254 WCT393254 WMP393254 WWL393254 AD458790 JZ458790 TV458790 ADR458790 ANN458790 AXJ458790 BHF458790 BRB458790 CAX458790 CKT458790 CUP458790 DEL458790 DOH458790 DYD458790 EHZ458790 ERV458790 FBR458790 FLN458790 FVJ458790 GFF458790 GPB458790 GYX458790 HIT458790 HSP458790 ICL458790 IMH458790 IWD458790 JFZ458790 JPV458790 JZR458790 KJN458790 KTJ458790 LDF458790 LNB458790 LWX458790 MGT458790 MQP458790 NAL458790 NKH458790 NUD458790 ODZ458790 ONV458790 OXR458790 PHN458790 PRJ458790 QBF458790 QLB458790 QUX458790 RET458790 ROP458790 RYL458790 SIH458790 SSD458790 TBZ458790 TLV458790 TVR458790 UFN458790 UPJ458790 UZF458790 VJB458790 VSX458790 WCT458790 WMP458790 WWL458790 AD524326 JZ524326 TV524326 ADR524326 ANN524326 AXJ524326 BHF524326 BRB524326 CAX524326 CKT524326 CUP524326 DEL524326 DOH524326 DYD524326 EHZ524326 ERV524326 FBR524326 FLN524326 FVJ524326 GFF524326 GPB524326 GYX524326 HIT524326 HSP524326 ICL524326 IMH524326 IWD524326 JFZ524326 JPV524326 JZR524326 KJN524326 KTJ524326 LDF524326 LNB524326 LWX524326 MGT524326 MQP524326 NAL524326 NKH524326 NUD524326 ODZ524326 ONV524326 OXR524326 PHN524326 PRJ524326 QBF524326 QLB524326 QUX524326 RET524326 ROP524326 RYL524326 SIH524326 SSD524326 TBZ524326 TLV524326 TVR524326 UFN524326 UPJ524326 UZF524326 VJB524326 VSX524326 WCT524326 WMP524326 WWL524326 AD589862 JZ589862 TV589862 ADR589862 ANN589862 AXJ589862 BHF589862 BRB589862 CAX589862 CKT589862 CUP589862 DEL589862 DOH589862 DYD589862 EHZ589862 ERV589862 FBR589862 FLN589862 FVJ589862 GFF589862 GPB589862 GYX589862 HIT589862 HSP589862 ICL589862 IMH589862 IWD589862 JFZ589862 JPV589862 JZR589862 KJN589862 KTJ589862 LDF589862 LNB589862 LWX589862 MGT589862 MQP589862 NAL589862 NKH589862 NUD589862 ODZ589862 ONV589862 OXR589862 PHN589862 PRJ589862 QBF589862 QLB589862 QUX589862 RET589862 ROP589862 RYL589862 SIH589862 SSD589862 TBZ589862 TLV589862 TVR589862 UFN589862 UPJ589862 UZF589862 VJB589862 VSX589862 WCT589862 WMP589862 WWL589862 AD655398 JZ655398 TV655398 ADR655398 ANN655398 AXJ655398 BHF655398 BRB655398 CAX655398 CKT655398 CUP655398 DEL655398 DOH655398 DYD655398 EHZ655398 ERV655398 FBR655398 FLN655398 FVJ655398 GFF655398 GPB655398 GYX655398 HIT655398 HSP655398 ICL655398 IMH655398 IWD655398 JFZ655398 JPV655398 JZR655398 KJN655398 KTJ655398 LDF655398 LNB655398 LWX655398 MGT655398 MQP655398 NAL655398 NKH655398 NUD655398 ODZ655398 ONV655398 OXR655398 PHN655398 PRJ655398 QBF655398 QLB655398 QUX655398 RET655398 ROP655398 RYL655398 SIH655398 SSD655398 TBZ655398 TLV655398 TVR655398 UFN655398 UPJ655398 UZF655398 VJB655398 VSX655398 WCT655398 WMP655398 WWL655398 AD720934 JZ720934 TV720934 ADR720934 ANN720934 AXJ720934 BHF720934 BRB720934 CAX720934 CKT720934 CUP720934 DEL720934 DOH720934 DYD720934 EHZ720934 ERV720934 FBR720934 FLN720934 FVJ720934 GFF720934 GPB720934 GYX720934 HIT720934 HSP720934 ICL720934 IMH720934 IWD720934 JFZ720934 JPV720934 JZR720934 KJN720934 KTJ720934 LDF720934 LNB720934 LWX720934 MGT720934 MQP720934 NAL720934 NKH720934 NUD720934 ODZ720934 ONV720934 OXR720934 PHN720934 PRJ720934 QBF720934 QLB720934 QUX720934 RET720934 ROP720934 RYL720934 SIH720934 SSD720934 TBZ720934 TLV720934 TVR720934 UFN720934 UPJ720934 UZF720934 VJB720934 VSX720934 WCT720934 WMP720934 WWL720934 AD786470 JZ786470 TV786470 ADR786470 ANN786470 AXJ786470 BHF786470 BRB786470 CAX786470 CKT786470 CUP786470 DEL786470 DOH786470 DYD786470 EHZ786470 ERV786470 FBR786470 FLN786470 FVJ786470 GFF786470 GPB786470 GYX786470 HIT786470 HSP786470 ICL786470 IMH786470 IWD786470 JFZ786470 JPV786470 JZR786470 KJN786470 KTJ786470 LDF786470 LNB786470 LWX786470 MGT786470 MQP786470 NAL786470 NKH786470 NUD786470 ODZ786470 ONV786470 OXR786470 PHN786470 PRJ786470 QBF786470 QLB786470 QUX786470 RET786470 ROP786470 RYL786470 SIH786470 SSD786470 TBZ786470 TLV786470 TVR786470 UFN786470 UPJ786470 UZF786470 VJB786470 VSX786470 WCT786470 WMP786470 WWL786470 AD852006 JZ852006 TV852006 ADR852006 ANN852006 AXJ852006 BHF852006 BRB852006 CAX852006 CKT852006 CUP852006 DEL852006 DOH852006 DYD852006 EHZ852006 ERV852006 FBR852006 FLN852006 FVJ852006 GFF852006 GPB852006 GYX852006 HIT852006 HSP852006 ICL852006 IMH852006 IWD852006 JFZ852006 JPV852006 JZR852006 KJN852006 KTJ852006 LDF852006 LNB852006 LWX852006 MGT852006 MQP852006 NAL852006 NKH852006 NUD852006 ODZ852006 ONV852006 OXR852006 PHN852006 PRJ852006 QBF852006 QLB852006 QUX852006 RET852006 ROP852006 RYL852006 SIH852006 SSD852006 TBZ852006 TLV852006 TVR852006 UFN852006 UPJ852006 UZF852006 VJB852006 VSX852006 WCT852006 WMP852006 WWL852006 AD917542 JZ917542 TV917542 ADR917542 ANN917542 AXJ917542 BHF917542 BRB917542 CAX917542 CKT917542 CUP917542 DEL917542 DOH917542 DYD917542 EHZ917542 ERV917542 FBR917542 FLN917542 FVJ917542 GFF917542 GPB917542 GYX917542 HIT917542 HSP917542 ICL917542 IMH917542 IWD917542 JFZ917542 JPV917542 JZR917542 KJN917542 KTJ917542 LDF917542 LNB917542 LWX917542 MGT917542 MQP917542 NAL917542 NKH917542 NUD917542 ODZ917542 ONV917542 OXR917542 PHN917542 PRJ917542 QBF917542 QLB917542 QUX917542 RET917542 ROP917542 RYL917542 SIH917542 SSD917542 TBZ917542 TLV917542 TVR917542 UFN917542 UPJ917542 UZF917542 VJB917542 VSX917542 WCT917542 WMP917542 WWL917542 AD983078 JZ983078 TV983078 ADR983078 ANN983078 AXJ983078 BHF983078 BRB983078 CAX983078 CKT983078 CUP983078 DEL983078 DOH983078 DYD983078 EHZ983078 ERV983078 FBR983078 FLN983078 FVJ983078 GFF983078 GPB983078 GYX983078 HIT983078 HSP983078 ICL983078 IMH983078 IWD983078 JFZ983078 JPV983078 JZR983078 KJN983078 KTJ983078 LDF983078 LNB983078 LWX983078 MGT983078 MQP983078 NAL983078 NKH983078 NUD983078 ODZ983078 ONV983078 OXR983078 PHN983078 PRJ983078 QBF983078 QLB983078 QUX983078 RET983078 ROP983078 RYL983078 SIH983078 SSD983078 TBZ983078 TLV983078 TVR983078 UFN983078 UPJ983078 UZF983078 VJB983078 VSX983078 WCT983078 WMP983078 WWL983078" xr:uid="{DC474FB7-2AE1-4CA5-B0EF-E868B5B8EDED}">
      <formula1>0</formula1>
      <formula2>0.05</formula2>
    </dataValidation>
  </dataValidations>
  <printOptions horizontalCentered="1"/>
  <pageMargins left="0.70866141732283472" right="0.70866141732283472" top="0.98425196850393704" bottom="0.78740157480314965" header="0.31496062992125984" footer="0.31496062992125984"/>
  <pageSetup paperSize="9" scale="98" fitToHeight="0" orientation="portrait" r:id="rId1"/>
  <headerFooter>
    <oddFooter>&amp;LPlanilha Múltipla 2 v01&amp;R&amp;P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E6EE5-ECA5-4AFE-9295-AAF5D02E03FE}">
  <sheetPr>
    <pageSetUpPr fitToPage="1"/>
  </sheetPr>
  <dimension ref="A1:K430"/>
  <sheetViews>
    <sheetView tabSelected="1" showOutlineSymbols="0" showWhiteSpace="0" topLeftCell="B272" zoomScale="80" zoomScaleNormal="80" workbookViewId="0">
      <selection activeCell="C412" sqref="C412"/>
    </sheetView>
  </sheetViews>
  <sheetFormatPr defaultRowHeight="14.25" x14ac:dyDescent="0.2"/>
  <cols>
    <col min="1" max="2" width="10" bestFit="1" customWidth="1"/>
    <col min="3" max="3" width="13.25" bestFit="1" customWidth="1"/>
    <col min="4" max="4" width="60" bestFit="1" customWidth="1"/>
    <col min="5" max="5" width="8" bestFit="1" customWidth="1"/>
    <col min="6" max="6" width="7" style="26" bestFit="1" customWidth="1"/>
    <col min="7" max="8" width="13" style="148" bestFit="1" customWidth="1"/>
    <col min="9" max="9" width="15" style="148" bestFit="1" customWidth="1"/>
  </cols>
  <sheetData>
    <row r="1" spans="1:9" s="55" customFormat="1" ht="15" customHeight="1" x14ac:dyDescent="0.2">
      <c r="A1" s="110"/>
      <c r="B1" s="125"/>
      <c r="C1" s="339" t="s">
        <v>979</v>
      </c>
      <c r="D1" s="340"/>
      <c r="E1" s="112" t="s">
        <v>977</v>
      </c>
      <c r="F1" s="273"/>
      <c r="G1" s="344" t="s">
        <v>976</v>
      </c>
      <c r="H1" s="344"/>
      <c r="I1" s="345"/>
    </row>
    <row r="2" spans="1:9" s="55" customFormat="1" ht="14.25" customHeight="1" x14ac:dyDescent="0.2">
      <c r="A2" s="113"/>
      <c r="B2" s="126"/>
      <c r="C2" s="341" t="s">
        <v>975</v>
      </c>
      <c r="D2" s="342"/>
      <c r="E2" s="139">
        <v>0.28820000000000001</v>
      </c>
      <c r="F2" s="141"/>
      <c r="G2" s="346" t="s">
        <v>973</v>
      </c>
      <c r="H2" s="346"/>
      <c r="I2" s="347"/>
    </row>
    <row r="3" spans="1:9" s="55" customFormat="1" ht="14.25" customHeight="1" x14ac:dyDescent="0.2">
      <c r="A3" s="115"/>
      <c r="B3" s="126"/>
      <c r="C3" s="124"/>
      <c r="D3" s="116"/>
      <c r="E3" s="127" t="s">
        <v>978</v>
      </c>
      <c r="F3" s="140"/>
      <c r="G3" s="346"/>
      <c r="H3" s="346"/>
      <c r="I3" s="347"/>
    </row>
    <row r="4" spans="1:9" s="55" customFormat="1" ht="30.75" customHeight="1" x14ac:dyDescent="0.2">
      <c r="A4" s="117"/>
      <c r="B4" s="118"/>
      <c r="C4" s="119"/>
      <c r="D4" s="120"/>
      <c r="E4" s="343" t="s">
        <v>1024</v>
      </c>
      <c r="F4" s="343"/>
      <c r="G4" s="346"/>
      <c r="H4" s="346"/>
      <c r="I4" s="347"/>
    </row>
    <row r="5" spans="1:9" ht="15" x14ac:dyDescent="0.25">
      <c r="A5" s="334" t="s">
        <v>1025</v>
      </c>
      <c r="B5" s="335"/>
      <c r="C5" s="335"/>
      <c r="D5" s="335"/>
      <c r="E5" s="335"/>
      <c r="F5" s="335"/>
      <c r="G5" s="335"/>
      <c r="H5" s="335"/>
      <c r="I5" s="336"/>
    </row>
    <row r="6" spans="1:9" ht="30" customHeight="1" x14ac:dyDescent="0.2">
      <c r="A6" s="274" t="s">
        <v>0</v>
      </c>
      <c r="B6" s="129" t="s">
        <v>972</v>
      </c>
      <c r="C6" s="128" t="s">
        <v>971</v>
      </c>
      <c r="D6" s="128" t="s">
        <v>1</v>
      </c>
      <c r="E6" s="130" t="s">
        <v>2</v>
      </c>
      <c r="F6" s="142" t="s">
        <v>3</v>
      </c>
      <c r="G6" s="145" t="s">
        <v>970</v>
      </c>
      <c r="H6" s="145" t="s">
        <v>969</v>
      </c>
      <c r="I6" s="275" t="s">
        <v>968</v>
      </c>
    </row>
    <row r="7" spans="1:9" ht="24" customHeight="1" x14ac:dyDescent="0.2">
      <c r="A7" s="166" t="s">
        <v>4</v>
      </c>
      <c r="B7" s="133" t="s">
        <v>1071</v>
      </c>
      <c r="C7" s="133"/>
      <c r="D7" s="133" t="s">
        <v>5</v>
      </c>
      <c r="E7" s="134"/>
      <c r="F7" s="143">
        <v>1</v>
      </c>
      <c r="G7" s="146" t="s">
        <v>1072</v>
      </c>
      <c r="H7" s="146">
        <v>163446.29999999999</v>
      </c>
      <c r="I7" s="276">
        <f>SUM(I8:I11)</f>
        <v>163446.30000000002</v>
      </c>
    </row>
    <row r="8" spans="1:9" ht="26.1" customHeight="1" x14ac:dyDescent="0.2">
      <c r="A8" s="169" t="s">
        <v>1073</v>
      </c>
      <c r="B8" s="136" t="s">
        <v>1074</v>
      </c>
      <c r="C8" s="136" t="s">
        <v>1075</v>
      </c>
      <c r="D8" s="136" t="s">
        <v>1076</v>
      </c>
      <c r="E8" s="137" t="s">
        <v>1077</v>
      </c>
      <c r="F8" s="144">
        <v>450</v>
      </c>
      <c r="G8" s="147">
        <v>109.12</v>
      </c>
      <c r="H8" s="147">
        <v>140.56</v>
      </c>
      <c r="I8" s="277">
        <f>TRUNC(F8*H8,2)</f>
        <v>63252</v>
      </c>
    </row>
    <row r="9" spans="1:9" ht="24" customHeight="1" x14ac:dyDescent="0.2">
      <c r="A9" s="169" t="s">
        <v>1078</v>
      </c>
      <c r="B9" s="136" t="s">
        <v>1079</v>
      </c>
      <c r="C9" s="136" t="s">
        <v>1075</v>
      </c>
      <c r="D9" s="136" t="s">
        <v>1080</v>
      </c>
      <c r="E9" s="137" t="s">
        <v>183</v>
      </c>
      <c r="F9" s="144">
        <v>5</v>
      </c>
      <c r="G9" s="147">
        <v>7090.57</v>
      </c>
      <c r="H9" s="147">
        <v>9134.07</v>
      </c>
      <c r="I9" s="277">
        <f t="shared" ref="I9:I71" si="0">TRUNC(F9*H9,2)</f>
        <v>45670.35</v>
      </c>
    </row>
    <row r="10" spans="1:9" ht="26.1" customHeight="1" x14ac:dyDescent="0.2">
      <c r="A10" s="169" t="s">
        <v>1081</v>
      </c>
      <c r="B10" s="136" t="s">
        <v>1082</v>
      </c>
      <c r="C10" s="136" t="s">
        <v>1075</v>
      </c>
      <c r="D10" s="136" t="s">
        <v>1083</v>
      </c>
      <c r="E10" s="137" t="s">
        <v>183</v>
      </c>
      <c r="F10" s="144">
        <v>5</v>
      </c>
      <c r="G10" s="147">
        <v>4688.87</v>
      </c>
      <c r="H10" s="147">
        <v>6040.2</v>
      </c>
      <c r="I10" s="277">
        <f t="shared" si="0"/>
        <v>30201</v>
      </c>
    </row>
    <row r="11" spans="1:9" ht="24" customHeight="1" x14ac:dyDescent="0.2">
      <c r="A11" s="169" t="s">
        <v>1084</v>
      </c>
      <c r="B11" s="136" t="s">
        <v>1085</v>
      </c>
      <c r="C11" s="136" t="s">
        <v>1075</v>
      </c>
      <c r="D11" s="136" t="s">
        <v>1086</v>
      </c>
      <c r="E11" s="137" t="s">
        <v>183</v>
      </c>
      <c r="F11" s="144">
        <v>5</v>
      </c>
      <c r="G11" s="147">
        <v>3776.27</v>
      </c>
      <c r="H11" s="147">
        <v>4864.59</v>
      </c>
      <c r="I11" s="277">
        <f t="shared" si="0"/>
        <v>24322.95</v>
      </c>
    </row>
    <row r="12" spans="1:9" ht="24" customHeight="1" x14ac:dyDescent="0.2">
      <c r="A12" s="166" t="s">
        <v>6</v>
      </c>
      <c r="B12" s="133" t="s">
        <v>1071</v>
      </c>
      <c r="C12" s="133"/>
      <c r="D12" s="133" t="s">
        <v>7</v>
      </c>
      <c r="E12" s="134"/>
      <c r="F12" s="143">
        <v>1</v>
      </c>
      <c r="G12" s="146" t="s">
        <v>1072</v>
      </c>
      <c r="H12" s="146">
        <v>33604.410000000003</v>
      </c>
      <c r="I12" s="276">
        <f>SUM(I13:I17)</f>
        <v>33604.410000000003</v>
      </c>
    </row>
    <row r="13" spans="1:9" ht="39" customHeight="1" x14ac:dyDescent="0.2">
      <c r="A13" s="169" t="s">
        <v>8</v>
      </c>
      <c r="B13" s="136" t="s">
        <v>1087</v>
      </c>
      <c r="C13" s="136" t="s">
        <v>1075</v>
      </c>
      <c r="D13" s="136" t="s">
        <v>9</v>
      </c>
      <c r="E13" s="137" t="s">
        <v>10</v>
      </c>
      <c r="F13" s="144">
        <v>49.51</v>
      </c>
      <c r="G13" s="147">
        <v>74.739999999999995</v>
      </c>
      <c r="H13" s="147">
        <v>96.28</v>
      </c>
      <c r="I13" s="277">
        <f t="shared" si="0"/>
        <v>4766.82</v>
      </c>
    </row>
    <row r="14" spans="1:9" ht="39" customHeight="1" x14ac:dyDescent="0.2">
      <c r="A14" s="169" t="s">
        <v>11</v>
      </c>
      <c r="B14" s="136" t="s">
        <v>1088</v>
      </c>
      <c r="C14" s="136" t="s">
        <v>1075</v>
      </c>
      <c r="D14" s="136" t="s">
        <v>12</v>
      </c>
      <c r="E14" s="137" t="s">
        <v>13</v>
      </c>
      <c r="F14" s="144">
        <v>3</v>
      </c>
      <c r="G14" s="147">
        <v>457.61</v>
      </c>
      <c r="H14" s="147">
        <v>589.49</v>
      </c>
      <c r="I14" s="277">
        <f t="shared" si="0"/>
        <v>1768.47</v>
      </c>
    </row>
    <row r="15" spans="1:9" ht="39" customHeight="1" x14ac:dyDescent="0.2">
      <c r="A15" s="169" t="s">
        <v>14</v>
      </c>
      <c r="B15" s="136" t="s">
        <v>1089</v>
      </c>
      <c r="C15" s="136" t="s">
        <v>1090</v>
      </c>
      <c r="D15" s="136" t="s">
        <v>15</v>
      </c>
      <c r="E15" s="137" t="s">
        <v>16</v>
      </c>
      <c r="F15" s="144">
        <v>1</v>
      </c>
      <c r="G15" s="147">
        <v>12092.84</v>
      </c>
      <c r="H15" s="147">
        <v>15577.99</v>
      </c>
      <c r="I15" s="277">
        <f t="shared" si="0"/>
        <v>15577.99</v>
      </c>
    </row>
    <row r="16" spans="1:9" ht="26.1" customHeight="1" x14ac:dyDescent="0.2">
      <c r="A16" s="169" t="s">
        <v>17</v>
      </c>
      <c r="B16" s="136" t="s">
        <v>1091</v>
      </c>
      <c r="C16" s="136" t="s">
        <v>1075</v>
      </c>
      <c r="D16" s="136" t="s">
        <v>18</v>
      </c>
      <c r="E16" s="137" t="s">
        <v>19</v>
      </c>
      <c r="F16" s="144">
        <v>80.540000000000006</v>
      </c>
      <c r="G16" s="147">
        <v>107.93</v>
      </c>
      <c r="H16" s="147">
        <v>139.03</v>
      </c>
      <c r="I16" s="277">
        <f t="shared" si="0"/>
        <v>11197.47</v>
      </c>
    </row>
    <row r="17" spans="1:9" ht="39" customHeight="1" x14ac:dyDescent="0.2">
      <c r="A17" s="169" t="s">
        <v>20</v>
      </c>
      <c r="B17" s="136" t="s">
        <v>1092</v>
      </c>
      <c r="C17" s="136" t="s">
        <v>1075</v>
      </c>
      <c r="D17" s="136" t="s">
        <v>21</v>
      </c>
      <c r="E17" s="137" t="s">
        <v>13</v>
      </c>
      <c r="F17" s="144">
        <v>371.73</v>
      </c>
      <c r="G17" s="147">
        <v>0.62</v>
      </c>
      <c r="H17" s="147">
        <v>0.79</v>
      </c>
      <c r="I17" s="277">
        <f t="shared" si="0"/>
        <v>293.66000000000003</v>
      </c>
    </row>
    <row r="18" spans="1:9" ht="24" customHeight="1" x14ac:dyDescent="0.2">
      <c r="A18" s="166" t="s">
        <v>22</v>
      </c>
      <c r="B18" s="133" t="s">
        <v>1071</v>
      </c>
      <c r="C18" s="133"/>
      <c r="D18" s="133" t="s">
        <v>23</v>
      </c>
      <c r="E18" s="134"/>
      <c r="F18" s="143">
        <v>1</v>
      </c>
      <c r="G18" s="146" t="s">
        <v>1072</v>
      </c>
      <c r="H18" s="146">
        <v>1359006.27</v>
      </c>
      <c r="I18" s="276">
        <f>I19+I31+I33+I49+I53+I61+I66+I73+I91+I100</f>
        <v>1364689.83</v>
      </c>
    </row>
    <row r="19" spans="1:9" ht="24" customHeight="1" x14ac:dyDescent="0.2">
      <c r="A19" s="166" t="s">
        <v>24</v>
      </c>
      <c r="B19" s="133" t="s">
        <v>1071</v>
      </c>
      <c r="C19" s="133"/>
      <c r="D19" s="133" t="s">
        <v>25</v>
      </c>
      <c r="E19" s="134"/>
      <c r="F19" s="143">
        <v>1</v>
      </c>
      <c r="G19" s="146" t="s">
        <v>1072</v>
      </c>
      <c r="H19" s="146">
        <v>124530.59</v>
      </c>
      <c r="I19" s="276">
        <f>SUM(I20:I30)</f>
        <v>123626.95</v>
      </c>
    </row>
    <row r="20" spans="1:9" ht="39" customHeight="1" x14ac:dyDescent="0.2">
      <c r="A20" s="169" t="s">
        <v>26</v>
      </c>
      <c r="B20" s="136" t="s">
        <v>1093</v>
      </c>
      <c r="C20" s="136" t="s">
        <v>1075</v>
      </c>
      <c r="D20" s="136" t="s">
        <v>27</v>
      </c>
      <c r="E20" s="137" t="s">
        <v>13</v>
      </c>
      <c r="F20" s="144">
        <v>1518.45</v>
      </c>
      <c r="G20" s="147">
        <v>5.99</v>
      </c>
      <c r="H20" s="147">
        <v>7.71</v>
      </c>
      <c r="I20" s="277">
        <f t="shared" si="0"/>
        <v>11707.24</v>
      </c>
    </row>
    <row r="21" spans="1:9" ht="26.1" customHeight="1" x14ac:dyDescent="0.2">
      <c r="A21" s="169" t="s">
        <v>28</v>
      </c>
      <c r="B21" s="136" t="s">
        <v>1094</v>
      </c>
      <c r="C21" s="136" t="s">
        <v>1075</v>
      </c>
      <c r="D21" s="136" t="s">
        <v>113</v>
      </c>
      <c r="E21" s="137" t="s">
        <v>19</v>
      </c>
      <c r="F21" s="144">
        <v>5.75</v>
      </c>
      <c r="G21" s="147">
        <v>49.74</v>
      </c>
      <c r="H21" s="147">
        <v>64.069999999999993</v>
      </c>
      <c r="I21" s="277">
        <f t="shared" si="0"/>
        <v>368.4</v>
      </c>
    </row>
    <row r="22" spans="1:9" ht="39" customHeight="1" x14ac:dyDescent="0.2">
      <c r="A22" s="169" t="s">
        <v>1095</v>
      </c>
      <c r="B22" s="136" t="s">
        <v>1096</v>
      </c>
      <c r="C22" s="136" t="s">
        <v>1075</v>
      </c>
      <c r="D22" s="136" t="s">
        <v>29</v>
      </c>
      <c r="E22" s="137" t="s">
        <v>13</v>
      </c>
      <c r="F22" s="144">
        <v>74.87</v>
      </c>
      <c r="G22" s="147">
        <v>5.34</v>
      </c>
      <c r="H22" s="147">
        <v>6.87</v>
      </c>
      <c r="I22" s="277">
        <f t="shared" si="0"/>
        <v>514.35</v>
      </c>
    </row>
    <row r="23" spans="1:9" ht="24" customHeight="1" x14ac:dyDescent="0.2">
      <c r="A23" s="169" t="s">
        <v>1097</v>
      </c>
      <c r="B23" s="136" t="s">
        <v>1098</v>
      </c>
      <c r="C23" s="136" t="s">
        <v>1090</v>
      </c>
      <c r="D23" s="136" t="s">
        <v>30</v>
      </c>
      <c r="E23" s="137" t="s">
        <v>13</v>
      </c>
      <c r="F23" s="144">
        <v>1084.42</v>
      </c>
      <c r="G23" s="147">
        <v>75.16</v>
      </c>
      <c r="H23" s="147">
        <v>96.82</v>
      </c>
      <c r="I23" s="277">
        <f t="shared" si="0"/>
        <v>104993.54</v>
      </c>
    </row>
    <row r="24" spans="1:9" ht="26.1" customHeight="1" x14ac:dyDescent="0.2">
      <c r="A24" s="169" t="s">
        <v>1099</v>
      </c>
      <c r="B24" s="136" t="s">
        <v>1100</v>
      </c>
      <c r="C24" s="136" t="s">
        <v>1075</v>
      </c>
      <c r="D24" s="136" t="s">
        <v>31</v>
      </c>
      <c r="E24" s="137" t="s">
        <v>13</v>
      </c>
      <c r="F24" s="144">
        <v>76.67</v>
      </c>
      <c r="G24" s="147">
        <v>8.42</v>
      </c>
      <c r="H24" s="147">
        <v>10.84</v>
      </c>
      <c r="I24" s="277">
        <f t="shared" si="0"/>
        <v>831.1</v>
      </c>
    </row>
    <row r="25" spans="1:9" ht="26.1" customHeight="1" x14ac:dyDescent="0.2">
      <c r="A25" s="169" t="s">
        <v>1101</v>
      </c>
      <c r="B25" s="136" t="s">
        <v>1102</v>
      </c>
      <c r="C25" s="136" t="s">
        <v>1075</v>
      </c>
      <c r="D25" s="136" t="s">
        <v>32</v>
      </c>
      <c r="E25" s="137" t="s">
        <v>33</v>
      </c>
      <c r="F25" s="144">
        <v>49</v>
      </c>
      <c r="G25" s="147">
        <v>11.46</v>
      </c>
      <c r="H25" s="147">
        <v>14.76</v>
      </c>
      <c r="I25" s="277">
        <f t="shared" si="0"/>
        <v>723.24</v>
      </c>
    </row>
    <row r="26" spans="1:9" ht="26.1" customHeight="1" x14ac:dyDescent="0.2">
      <c r="A26" s="169" t="s">
        <v>232</v>
      </c>
      <c r="B26" s="136" t="s">
        <v>1103</v>
      </c>
      <c r="C26" s="136" t="s">
        <v>1075</v>
      </c>
      <c r="D26" s="136" t="s">
        <v>34</v>
      </c>
      <c r="E26" s="137" t="s">
        <v>33</v>
      </c>
      <c r="F26" s="144">
        <v>194</v>
      </c>
      <c r="G26" s="147">
        <v>1.64</v>
      </c>
      <c r="H26" s="147">
        <v>2.11</v>
      </c>
      <c r="I26" s="277">
        <f t="shared" si="0"/>
        <v>409.34</v>
      </c>
    </row>
    <row r="27" spans="1:9" ht="26.1" customHeight="1" x14ac:dyDescent="0.2">
      <c r="A27" s="169" t="s">
        <v>233</v>
      </c>
      <c r="B27" s="136" t="s">
        <v>1104</v>
      </c>
      <c r="C27" s="136" t="s">
        <v>1075</v>
      </c>
      <c r="D27" s="136" t="s">
        <v>35</v>
      </c>
      <c r="E27" s="137" t="s">
        <v>33</v>
      </c>
      <c r="F27" s="144">
        <v>179</v>
      </c>
      <c r="G27" s="147">
        <v>0.6</v>
      </c>
      <c r="H27" s="147">
        <v>0.77</v>
      </c>
      <c r="I27" s="277">
        <f t="shared" si="0"/>
        <v>137.83000000000001</v>
      </c>
    </row>
    <row r="28" spans="1:9" ht="26.1" customHeight="1" x14ac:dyDescent="0.2">
      <c r="A28" s="169" t="s">
        <v>234</v>
      </c>
      <c r="B28" s="136" t="s">
        <v>1105</v>
      </c>
      <c r="C28" s="136" t="s">
        <v>1075</v>
      </c>
      <c r="D28" s="136" t="s">
        <v>36</v>
      </c>
      <c r="E28" s="137" t="s">
        <v>13</v>
      </c>
      <c r="F28" s="144">
        <v>988.78</v>
      </c>
      <c r="G28" s="147">
        <v>2.57</v>
      </c>
      <c r="H28" s="147">
        <v>3.31</v>
      </c>
      <c r="I28" s="277">
        <f t="shared" si="0"/>
        <v>3272.86</v>
      </c>
    </row>
    <row r="29" spans="1:9" ht="24" customHeight="1" x14ac:dyDescent="0.2">
      <c r="A29" s="169" t="s">
        <v>235</v>
      </c>
      <c r="B29" s="136" t="s">
        <v>1106</v>
      </c>
      <c r="C29" s="136" t="s">
        <v>1090</v>
      </c>
      <c r="D29" s="136" t="s">
        <v>37</v>
      </c>
      <c r="E29" s="137" t="s">
        <v>13</v>
      </c>
      <c r="F29" s="144">
        <v>34.32</v>
      </c>
      <c r="G29" s="147">
        <v>14.79</v>
      </c>
      <c r="H29" s="147">
        <v>19.05</v>
      </c>
      <c r="I29" s="277">
        <f t="shared" si="0"/>
        <v>653.79</v>
      </c>
    </row>
    <row r="30" spans="1:9" ht="24" customHeight="1" x14ac:dyDescent="0.2">
      <c r="A30" s="169" t="s">
        <v>236</v>
      </c>
      <c r="B30" s="136" t="s">
        <v>1107</v>
      </c>
      <c r="C30" s="136" t="s">
        <v>1090</v>
      </c>
      <c r="D30" s="136" t="s">
        <v>38</v>
      </c>
      <c r="E30" s="137" t="s">
        <v>13</v>
      </c>
      <c r="F30" s="144">
        <v>0.53</v>
      </c>
      <c r="G30" s="147">
        <v>22.37</v>
      </c>
      <c r="H30" s="147">
        <v>28.81</v>
      </c>
      <c r="I30" s="277">
        <f t="shared" si="0"/>
        <v>15.26</v>
      </c>
    </row>
    <row r="31" spans="1:9" ht="24" customHeight="1" x14ac:dyDescent="0.2">
      <c r="A31" s="166" t="s">
        <v>39</v>
      </c>
      <c r="B31" s="133" t="s">
        <v>1071</v>
      </c>
      <c r="C31" s="133"/>
      <c r="D31" s="133" t="s">
        <v>40</v>
      </c>
      <c r="E31" s="134"/>
      <c r="F31" s="143">
        <v>1</v>
      </c>
      <c r="G31" s="146" t="s">
        <v>1072</v>
      </c>
      <c r="H31" s="146">
        <v>19586.98</v>
      </c>
      <c r="I31" s="276">
        <f>SUM(I32)</f>
        <v>19586.98</v>
      </c>
    </row>
    <row r="32" spans="1:9" ht="65.099999999999994" customHeight="1" x14ac:dyDescent="0.2">
      <c r="A32" s="169" t="s">
        <v>41</v>
      </c>
      <c r="B32" s="136" t="s">
        <v>1108</v>
      </c>
      <c r="C32" s="136" t="s">
        <v>1075</v>
      </c>
      <c r="D32" s="136" t="s">
        <v>307</v>
      </c>
      <c r="E32" s="137" t="s">
        <v>13</v>
      </c>
      <c r="F32" s="144">
        <v>105.38</v>
      </c>
      <c r="G32" s="147">
        <v>144.29</v>
      </c>
      <c r="H32" s="147">
        <v>185.87</v>
      </c>
      <c r="I32" s="277">
        <f t="shared" si="0"/>
        <v>19586.98</v>
      </c>
    </row>
    <row r="33" spans="1:9" ht="24" customHeight="1" x14ac:dyDescent="0.2">
      <c r="A33" s="166" t="s">
        <v>42</v>
      </c>
      <c r="B33" s="133" t="s">
        <v>1071</v>
      </c>
      <c r="C33" s="133"/>
      <c r="D33" s="133" t="s">
        <v>43</v>
      </c>
      <c r="E33" s="134"/>
      <c r="F33" s="143">
        <v>1</v>
      </c>
      <c r="G33" s="146" t="s">
        <v>1072</v>
      </c>
      <c r="H33" s="146">
        <v>885475.91</v>
      </c>
      <c r="I33" s="276">
        <f>I34+I40+I47</f>
        <v>885475.91</v>
      </c>
    </row>
    <row r="34" spans="1:9" ht="24" customHeight="1" x14ac:dyDescent="0.2">
      <c r="A34" s="166" t="s">
        <v>44</v>
      </c>
      <c r="B34" s="133" t="s">
        <v>1071</v>
      </c>
      <c r="C34" s="133"/>
      <c r="D34" s="133" t="s">
        <v>45</v>
      </c>
      <c r="E34" s="134"/>
      <c r="F34" s="143">
        <v>1</v>
      </c>
      <c r="G34" s="146" t="s">
        <v>1072</v>
      </c>
      <c r="H34" s="146">
        <v>189554.71</v>
      </c>
      <c r="I34" s="276">
        <f>SUM(I35:I39)</f>
        <v>189554.71000000002</v>
      </c>
    </row>
    <row r="35" spans="1:9" ht="51.95" customHeight="1" x14ac:dyDescent="0.2">
      <c r="A35" s="169" t="s">
        <v>46</v>
      </c>
      <c r="B35" s="136" t="s">
        <v>1109</v>
      </c>
      <c r="C35" s="136" t="s">
        <v>1075</v>
      </c>
      <c r="D35" s="136" t="s">
        <v>47</v>
      </c>
      <c r="E35" s="137" t="s">
        <v>13</v>
      </c>
      <c r="F35" s="144">
        <v>74.87</v>
      </c>
      <c r="G35" s="147">
        <v>6.51</v>
      </c>
      <c r="H35" s="147">
        <v>8.3800000000000008</v>
      </c>
      <c r="I35" s="277">
        <f t="shared" si="0"/>
        <v>627.41</v>
      </c>
    </row>
    <row r="36" spans="1:9" ht="51.95" customHeight="1" x14ac:dyDescent="0.2">
      <c r="A36" s="169" t="s">
        <v>48</v>
      </c>
      <c r="B36" s="136" t="s">
        <v>1110</v>
      </c>
      <c r="C36" s="136" t="s">
        <v>1075</v>
      </c>
      <c r="D36" s="136" t="s">
        <v>49</v>
      </c>
      <c r="E36" s="137" t="s">
        <v>13</v>
      </c>
      <c r="F36" s="144">
        <v>74.87</v>
      </c>
      <c r="G36" s="147">
        <v>43.09</v>
      </c>
      <c r="H36" s="147">
        <v>55.5</v>
      </c>
      <c r="I36" s="277">
        <f t="shared" si="0"/>
        <v>4155.28</v>
      </c>
    </row>
    <row r="37" spans="1:9" ht="26.1" customHeight="1" x14ac:dyDescent="0.2">
      <c r="A37" s="169" t="s">
        <v>50</v>
      </c>
      <c r="B37" s="136" t="s">
        <v>1111</v>
      </c>
      <c r="C37" s="136" t="s">
        <v>1090</v>
      </c>
      <c r="D37" s="136" t="s">
        <v>51</v>
      </c>
      <c r="E37" s="137" t="s">
        <v>13</v>
      </c>
      <c r="F37" s="144">
        <v>400.25</v>
      </c>
      <c r="G37" s="147">
        <v>272.64</v>
      </c>
      <c r="H37" s="147">
        <v>351.21</v>
      </c>
      <c r="I37" s="277">
        <f t="shared" si="0"/>
        <v>140571.79999999999</v>
      </c>
    </row>
    <row r="38" spans="1:9" ht="39" customHeight="1" x14ac:dyDescent="0.2">
      <c r="A38" s="169" t="s">
        <v>1112</v>
      </c>
      <c r="B38" s="136" t="s">
        <v>1113</v>
      </c>
      <c r="C38" s="136" t="s">
        <v>1075</v>
      </c>
      <c r="D38" s="136" t="s">
        <v>52</v>
      </c>
      <c r="E38" s="137" t="s">
        <v>13</v>
      </c>
      <c r="F38" s="144">
        <v>328.8</v>
      </c>
      <c r="G38" s="147">
        <v>69.430000000000007</v>
      </c>
      <c r="H38" s="147">
        <v>89.43</v>
      </c>
      <c r="I38" s="277">
        <f t="shared" si="0"/>
        <v>29404.58</v>
      </c>
    </row>
    <row r="39" spans="1:9" ht="24" customHeight="1" x14ac:dyDescent="0.2">
      <c r="A39" s="169" t="s">
        <v>1114</v>
      </c>
      <c r="B39" s="136" t="s">
        <v>1115</v>
      </c>
      <c r="C39" s="136" t="s">
        <v>1090</v>
      </c>
      <c r="D39" s="136" t="s">
        <v>53</v>
      </c>
      <c r="E39" s="137" t="s">
        <v>10</v>
      </c>
      <c r="F39" s="144">
        <v>410.42</v>
      </c>
      <c r="G39" s="147">
        <v>27.99</v>
      </c>
      <c r="H39" s="147">
        <v>36.049999999999997</v>
      </c>
      <c r="I39" s="277">
        <f t="shared" si="0"/>
        <v>14795.64</v>
      </c>
    </row>
    <row r="40" spans="1:9" ht="24" customHeight="1" x14ac:dyDescent="0.2">
      <c r="A40" s="166" t="s">
        <v>54</v>
      </c>
      <c r="B40" s="133" t="s">
        <v>1071</v>
      </c>
      <c r="C40" s="133"/>
      <c r="D40" s="133" t="s">
        <v>55</v>
      </c>
      <c r="E40" s="134"/>
      <c r="F40" s="143">
        <v>1</v>
      </c>
      <c r="G40" s="146" t="s">
        <v>1072</v>
      </c>
      <c r="H40" s="146">
        <v>545846.37</v>
      </c>
      <c r="I40" s="276">
        <f>SUM(I41:I46)</f>
        <v>545846.37</v>
      </c>
    </row>
    <row r="41" spans="1:9" ht="24" customHeight="1" x14ac:dyDescent="0.2">
      <c r="A41" s="169" t="s">
        <v>56</v>
      </c>
      <c r="B41" s="136" t="s">
        <v>1116</v>
      </c>
      <c r="C41" s="136" t="s">
        <v>1075</v>
      </c>
      <c r="D41" s="136" t="s">
        <v>57</v>
      </c>
      <c r="E41" s="137" t="s">
        <v>13</v>
      </c>
      <c r="F41" s="144">
        <v>622.22</v>
      </c>
      <c r="G41" s="147">
        <v>27.99</v>
      </c>
      <c r="H41" s="147">
        <v>36.049999999999997</v>
      </c>
      <c r="I41" s="277">
        <f t="shared" si="0"/>
        <v>22431.03</v>
      </c>
    </row>
    <row r="42" spans="1:9" ht="51.95" customHeight="1" x14ac:dyDescent="0.2">
      <c r="A42" s="169" t="s">
        <v>58</v>
      </c>
      <c r="B42" s="136" t="s">
        <v>1117</v>
      </c>
      <c r="C42" s="136" t="s">
        <v>1075</v>
      </c>
      <c r="D42" s="136" t="s">
        <v>59</v>
      </c>
      <c r="E42" s="137" t="s">
        <v>13</v>
      </c>
      <c r="F42" s="144">
        <v>1205.1300000000001</v>
      </c>
      <c r="G42" s="147">
        <v>54.72</v>
      </c>
      <c r="H42" s="147">
        <v>70.489999999999995</v>
      </c>
      <c r="I42" s="277">
        <f t="shared" si="0"/>
        <v>84949.61</v>
      </c>
    </row>
    <row r="43" spans="1:9" ht="24" customHeight="1" x14ac:dyDescent="0.2">
      <c r="A43" s="169" t="s">
        <v>60</v>
      </c>
      <c r="B43" s="136" t="s">
        <v>1118</v>
      </c>
      <c r="C43" s="136" t="s">
        <v>1075</v>
      </c>
      <c r="D43" s="136" t="s">
        <v>61</v>
      </c>
      <c r="E43" s="137" t="s">
        <v>13</v>
      </c>
      <c r="F43" s="144">
        <v>582.91</v>
      </c>
      <c r="G43" s="147">
        <v>7.46</v>
      </c>
      <c r="H43" s="147">
        <v>9.6</v>
      </c>
      <c r="I43" s="277">
        <f t="shared" si="0"/>
        <v>5595.93</v>
      </c>
    </row>
    <row r="44" spans="1:9" ht="26.1" customHeight="1" x14ac:dyDescent="0.2">
      <c r="A44" s="169" t="s">
        <v>62</v>
      </c>
      <c r="B44" s="136" t="s">
        <v>1119</v>
      </c>
      <c r="C44" s="136" t="s">
        <v>1075</v>
      </c>
      <c r="D44" s="136" t="s">
        <v>63</v>
      </c>
      <c r="E44" s="137" t="s">
        <v>13</v>
      </c>
      <c r="F44" s="144">
        <v>134.1</v>
      </c>
      <c r="G44" s="147">
        <v>33.29</v>
      </c>
      <c r="H44" s="147">
        <v>42.88</v>
      </c>
      <c r="I44" s="277">
        <f t="shared" si="0"/>
        <v>5750.2</v>
      </c>
    </row>
    <row r="45" spans="1:9" ht="26.1" customHeight="1" x14ac:dyDescent="0.2">
      <c r="A45" s="169" t="s">
        <v>64</v>
      </c>
      <c r="B45" s="136" t="s">
        <v>1111</v>
      </c>
      <c r="C45" s="136" t="s">
        <v>1090</v>
      </c>
      <c r="D45" s="136" t="s">
        <v>51</v>
      </c>
      <c r="E45" s="137" t="s">
        <v>13</v>
      </c>
      <c r="F45" s="144">
        <v>1205.1300000000001</v>
      </c>
      <c r="G45" s="147">
        <v>272.64</v>
      </c>
      <c r="H45" s="147">
        <v>351.21</v>
      </c>
      <c r="I45" s="277">
        <f t="shared" si="0"/>
        <v>423253.7</v>
      </c>
    </row>
    <row r="46" spans="1:9" ht="26.1" customHeight="1" x14ac:dyDescent="0.2">
      <c r="A46" s="169" t="s">
        <v>1120</v>
      </c>
      <c r="B46" s="136" t="s">
        <v>1121</v>
      </c>
      <c r="C46" s="136" t="s">
        <v>1090</v>
      </c>
      <c r="D46" s="136" t="s">
        <v>65</v>
      </c>
      <c r="E46" s="137" t="s">
        <v>10</v>
      </c>
      <c r="F46" s="144">
        <v>231.63</v>
      </c>
      <c r="G46" s="147">
        <v>12.96</v>
      </c>
      <c r="H46" s="147">
        <v>16.690000000000001</v>
      </c>
      <c r="I46" s="277">
        <f t="shared" si="0"/>
        <v>3865.9</v>
      </c>
    </row>
    <row r="47" spans="1:9" ht="24" customHeight="1" x14ac:dyDescent="0.2">
      <c r="A47" s="166" t="s">
        <v>66</v>
      </c>
      <c r="B47" s="133" t="s">
        <v>1071</v>
      </c>
      <c r="C47" s="133"/>
      <c r="D47" s="133" t="s">
        <v>67</v>
      </c>
      <c r="E47" s="134"/>
      <c r="F47" s="143">
        <v>1</v>
      </c>
      <c r="G47" s="146" t="s">
        <v>1072</v>
      </c>
      <c r="H47" s="146">
        <v>150074.82999999999</v>
      </c>
      <c r="I47" s="276">
        <f>I48</f>
        <v>150074.82999999999</v>
      </c>
    </row>
    <row r="48" spans="1:9" ht="104.1" customHeight="1" x14ac:dyDescent="0.2">
      <c r="A48" s="169" t="s">
        <v>68</v>
      </c>
      <c r="B48" s="136" t="s">
        <v>1122</v>
      </c>
      <c r="C48" s="136" t="s">
        <v>1090</v>
      </c>
      <c r="D48" s="136" t="s">
        <v>69</v>
      </c>
      <c r="E48" s="137" t="s">
        <v>13</v>
      </c>
      <c r="F48" s="144">
        <v>1205.1300000000001</v>
      </c>
      <c r="G48" s="147">
        <v>96.67</v>
      </c>
      <c r="H48" s="147">
        <v>124.53</v>
      </c>
      <c r="I48" s="277">
        <f t="shared" si="0"/>
        <v>150074.82999999999</v>
      </c>
    </row>
    <row r="49" spans="1:9" ht="24" customHeight="1" x14ac:dyDescent="0.2">
      <c r="A49" s="166" t="s">
        <v>70</v>
      </c>
      <c r="B49" s="133" t="s">
        <v>1071</v>
      </c>
      <c r="C49" s="133"/>
      <c r="D49" s="133" t="s">
        <v>71</v>
      </c>
      <c r="E49" s="134"/>
      <c r="F49" s="143">
        <v>1</v>
      </c>
      <c r="G49" s="146" t="s">
        <v>1072</v>
      </c>
      <c r="H49" s="146">
        <v>28830.31</v>
      </c>
      <c r="I49" s="276">
        <f>SUM(I50:I52)</f>
        <v>28830.31</v>
      </c>
    </row>
    <row r="50" spans="1:9" ht="26.1" customHeight="1" x14ac:dyDescent="0.2">
      <c r="A50" s="169" t="s">
        <v>72</v>
      </c>
      <c r="B50" s="136" t="s">
        <v>1123</v>
      </c>
      <c r="C50" s="136" t="s">
        <v>1075</v>
      </c>
      <c r="D50" s="136" t="s">
        <v>73</v>
      </c>
      <c r="E50" s="137" t="s">
        <v>13</v>
      </c>
      <c r="F50" s="144">
        <v>74.87</v>
      </c>
      <c r="G50" s="147">
        <v>3.43</v>
      </c>
      <c r="H50" s="147">
        <v>4.41</v>
      </c>
      <c r="I50" s="277">
        <f t="shared" si="0"/>
        <v>330.17</v>
      </c>
    </row>
    <row r="51" spans="1:9" ht="26.1" customHeight="1" x14ac:dyDescent="0.2">
      <c r="A51" s="169" t="s">
        <v>74</v>
      </c>
      <c r="B51" s="136" t="s">
        <v>1124</v>
      </c>
      <c r="C51" s="136" t="s">
        <v>1075</v>
      </c>
      <c r="D51" s="136" t="s">
        <v>75</v>
      </c>
      <c r="E51" s="137" t="s">
        <v>13</v>
      </c>
      <c r="F51" s="144">
        <v>74.87</v>
      </c>
      <c r="G51" s="147">
        <v>12.25</v>
      </c>
      <c r="H51" s="147">
        <v>15.78</v>
      </c>
      <c r="I51" s="277">
        <f t="shared" si="0"/>
        <v>1181.44</v>
      </c>
    </row>
    <row r="52" spans="1:9" ht="39" customHeight="1" x14ac:dyDescent="0.2">
      <c r="A52" s="169" t="s">
        <v>76</v>
      </c>
      <c r="B52" s="136" t="s">
        <v>1125</v>
      </c>
      <c r="C52" s="136" t="s">
        <v>1075</v>
      </c>
      <c r="D52" s="136" t="s">
        <v>77</v>
      </c>
      <c r="E52" s="137" t="s">
        <v>13</v>
      </c>
      <c r="F52" s="144">
        <v>1437.07</v>
      </c>
      <c r="G52" s="147">
        <v>14.76</v>
      </c>
      <c r="H52" s="147">
        <v>19.010000000000002</v>
      </c>
      <c r="I52" s="277">
        <f t="shared" si="0"/>
        <v>27318.7</v>
      </c>
    </row>
    <row r="53" spans="1:9" ht="24" customHeight="1" x14ac:dyDescent="0.2">
      <c r="A53" s="166" t="s">
        <v>78</v>
      </c>
      <c r="B53" s="133" t="s">
        <v>1071</v>
      </c>
      <c r="C53" s="133"/>
      <c r="D53" s="133" t="s">
        <v>79</v>
      </c>
      <c r="E53" s="134"/>
      <c r="F53" s="143">
        <v>1</v>
      </c>
      <c r="G53" s="146" t="s">
        <v>1072</v>
      </c>
      <c r="H53" s="146">
        <v>163317.54</v>
      </c>
      <c r="I53" s="276">
        <f t="shared" si="0"/>
        <v>163317.54</v>
      </c>
    </row>
    <row r="54" spans="1:9" ht="24" customHeight="1" x14ac:dyDescent="0.2">
      <c r="A54" s="166" t="s">
        <v>80</v>
      </c>
      <c r="B54" s="133" t="s">
        <v>1071</v>
      </c>
      <c r="C54" s="133"/>
      <c r="D54" s="133" t="s">
        <v>81</v>
      </c>
      <c r="E54" s="134"/>
      <c r="F54" s="143">
        <v>1</v>
      </c>
      <c r="G54" s="146" t="s">
        <v>1072</v>
      </c>
      <c r="H54" s="146">
        <v>163317.54</v>
      </c>
      <c r="I54" s="276">
        <f>SUM(I55:I60)</f>
        <v>163317.54</v>
      </c>
    </row>
    <row r="55" spans="1:9" ht="39" customHeight="1" x14ac:dyDescent="0.2">
      <c r="A55" s="169" t="s">
        <v>82</v>
      </c>
      <c r="B55" s="136" t="s">
        <v>1126</v>
      </c>
      <c r="C55" s="136" t="s">
        <v>1090</v>
      </c>
      <c r="D55" s="136" t="s">
        <v>83</v>
      </c>
      <c r="E55" s="137" t="s">
        <v>33</v>
      </c>
      <c r="F55" s="144">
        <v>16</v>
      </c>
      <c r="G55" s="147">
        <v>4134.3900000000003</v>
      </c>
      <c r="H55" s="147">
        <v>5325.92</v>
      </c>
      <c r="I55" s="277">
        <f t="shared" si="0"/>
        <v>85214.720000000001</v>
      </c>
    </row>
    <row r="56" spans="1:9" ht="39" customHeight="1" x14ac:dyDescent="0.2">
      <c r="A56" s="169" t="s">
        <v>84</v>
      </c>
      <c r="B56" s="136" t="s">
        <v>1127</v>
      </c>
      <c r="C56" s="136" t="s">
        <v>1090</v>
      </c>
      <c r="D56" s="136" t="s">
        <v>85</v>
      </c>
      <c r="E56" s="137" t="s">
        <v>86</v>
      </c>
      <c r="F56" s="144">
        <v>5</v>
      </c>
      <c r="G56" s="147">
        <v>3356.04</v>
      </c>
      <c r="H56" s="147">
        <v>4323.25</v>
      </c>
      <c r="I56" s="277">
        <f t="shared" si="0"/>
        <v>21616.25</v>
      </c>
    </row>
    <row r="57" spans="1:9" ht="39" customHeight="1" x14ac:dyDescent="0.2">
      <c r="A57" s="169" t="s">
        <v>87</v>
      </c>
      <c r="B57" s="136" t="s">
        <v>1128</v>
      </c>
      <c r="C57" s="136" t="s">
        <v>1090</v>
      </c>
      <c r="D57" s="136" t="s">
        <v>88</v>
      </c>
      <c r="E57" s="137" t="s">
        <v>33</v>
      </c>
      <c r="F57" s="144">
        <v>4</v>
      </c>
      <c r="G57" s="147">
        <v>3595.18</v>
      </c>
      <c r="H57" s="147">
        <v>4631.3100000000004</v>
      </c>
      <c r="I57" s="277">
        <f t="shared" si="0"/>
        <v>18525.240000000002</v>
      </c>
    </row>
    <row r="58" spans="1:9" ht="39" customHeight="1" x14ac:dyDescent="0.2">
      <c r="A58" s="169" t="s">
        <v>89</v>
      </c>
      <c r="B58" s="136" t="s">
        <v>1129</v>
      </c>
      <c r="C58" s="136" t="s">
        <v>1090</v>
      </c>
      <c r="D58" s="136" t="s">
        <v>90</v>
      </c>
      <c r="E58" s="137" t="s">
        <v>33</v>
      </c>
      <c r="F58" s="144">
        <v>5</v>
      </c>
      <c r="G58" s="147">
        <v>4096.58</v>
      </c>
      <c r="H58" s="147">
        <v>5277.21</v>
      </c>
      <c r="I58" s="277">
        <f t="shared" si="0"/>
        <v>26386.05</v>
      </c>
    </row>
    <row r="59" spans="1:9" ht="65.099999999999994" customHeight="1" x14ac:dyDescent="0.2">
      <c r="A59" s="169" t="s">
        <v>91</v>
      </c>
      <c r="B59" s="136" t="s">
        <v>1130</v>
      </c>
      <c r="C59" s="136" t="s">
        <v>1090</v>
      </c>
      <c r="D59" s="136" t="s">
        <v>92</v>
      </c>
      <c r="E59" s="137" t="s">
        <v>16</v>
      </c>
      <c r="F59" s="144">
        <v>15</v>
      </c>
      <c r="G59" s="147">
        <v>436.97</v>
      </c>
      <c r="H59" s="147">
        <v>562.9</v>
      </c>
      <c r="I59" s="277">
        <f t="shared" si="0"/>
        <v>8443.5</v>
      </c>
    </row>
    <row r="60" spans="1:9" ht="26.1" customHeight="1" x14ac:dyDescent="0.2">
      <c r="A60" s="169" t="s">
        <v>93</v>
      </c>
      <c r="B60" s="136" t="s">
        <v>1131</v>
      </c>
      <c r="C60" s="136" t="s">
        <v>1090</v>
      </c>
      <c r="D60" s="136" t="s">
        <v>94</v>
      </c>
      <c r="E60" s="137" t="s">
        <v>13</v>
      </c>
      <c r="F60" s="144">
        <v>3.6</v>
      </c>
      <c r="G60" s="147">
        <v>675.32</v>
      </c>
      <c r="H60" s="147">
        <v>869.94</v>
      </c>
      <c r="I60" s="277">
        <f t="shared" si="0"/>
        <v>3131.78</v>
      </c>
    </row>
    <row r="61" spans="1:9" ht="24" customHeight="1" x14ac:dyDescent="0.2">
      <c r="A61" s="166" t="s">
        <v>1132</v>
      </c>
      <c r="B61" s="133" t="s">
        <v>1071</v>
      </c>
      <c r="C61" s="133"/>
      <c r="D61" s="133" t="s">
        <v>95</v>
      </c>
      <c r="E61" s="134"/>
      <c r="F61" s="143">
        <v>1</v>
      </c>
      <c r="G61" s="146" t="s">
        <v>1072</v>
      </c>
      <c r="H61" s="146">
        <v>56102.45</v>
      </c>
      <c r="I61" s="276">
        <f>SUM(I62:I65)</f>
        <v>56102.450000000004</v>
      </c>
    </row>
    <row r="62" spans="1:9" ht="26.1" customHeight="1" x14ac:dyDescent="0.2">
      <c r="A62" s="169" t="s">
        <v>1133</v>
      </c>
      <c r="B62" s="136" t="s">
        <v>1134</v>
      </c>
      <c r="C62" s="136" t="s">
        <v>1075</v>
      </c>
      <c r="D62" s="136" t="s">
        <v>96</v>
      </c>
      <c r="E62" s="137" t="s">
        <v>10</v>
      </c>
      <c r="F62" s="144">
        <v>15.9</v>
      </c>
      <c r="G62" s="147">
        <v>119.5</v>
      </c>
      <c r="H62" s="147">
        <v>153.93</v>
      </c>
      <c r="I62" s="277">
        <f t="shared" si="0"/>
        <v>2447.48</v>
      </c>
    </row>
    <row r="63" spans="1:9" ht="51.95" customHeight="1" x14ac:dyDescent="0.2">
      <c r="A63" s="169" t="s">
        <v>1135</v>
      </c>
      <c r="B63" s="136" t="s">
        <v>1136</v>
      </c>
      <c r="C63" s="136" t="s">
        <v>1090</v>
      </c>
      <c r="D63" s="136" t="s">
        <v>97</v>
      </c>
      <c r="E63" s="137" t="s">
        <v>13</v>
      </c>
      <c r="F63" s="144">
        <v>38.86</v>
      </c>
      <c r="G63" s="147">
        <v>803.03</v>
      </c>
      <c r="H63" s="147">
        <v>1034.46</v>
      </c>
      <c r="I63" s="277">
        <f t="shared" si="0"/>
        <v>40199.11</v>
      </c>
    </row>
    <row r="64" spans="1:9" ht="24" customHeight="1" x14ac:dyDescent="0.2">
      <c r="A64" s="169" t="s">
        <v>1137</v>
      </c>
      <c r="B64" s="136" t="s">
        <v>1138</v>
      </c>
      <c r="C64" s="136" t="s">
        <v>1090</v>
      </c>
      <c r="D64" s="136" t="s">
        <v>98</v>
      </c>
      <c r="E64" s="137" t="s">
        <v>13</v>
      </c>
      <c r="F64" s="144">
        <v>3.09</v>
      </c>
      <c r="G64" s="147">
        <v>824.26</v>
      </c>
      <c r="H64" s="147">
        <v>1061.81</v>
      </c>
      <c r="I64" s="277">
        <f t="shared" si="0"/>
        <v>3280.99</v>
      </c>
    </row>
    <row r="65" spans="1:9" ht="26.1" customHeight="1" x14ac:dyDescent="0.2">
      <c r="A65" s="169" t="s">
        <v>1139</v>
      </c>
      <c r="B65" s="136" t="s">
        <v>1140</v>
      </c>
      <c r="C65" s="136" t="s">
        <v>1075</v>
      </c>
      <c r="D65" s="136" t="s">
        <v>99</v>
      </c>
      <c r="E65" s="137" t="s">
        <v>13</v>
      </c>
      <c r="F65" s="144">
        <v>12.62</v>
      </c>
      <c r="G65" s="147">
        <v>625.88</v>
      </c>
      <c r="H65" s="147">
        <v>806.25</v>
      </c>
      <c r="I65" s="277">
        <f t="shared" si="0"/>
        <v>10174.870000000001</v>
      </c>
    </row>
    <row r="66" spans="1:9" ht="24" customHeight="1" x14ac:dyDescent="0.2">
      <c r="A66" s="166" t="s">
        <v>1141</v>
      </c>
      <c r="B66" s="133" t="s">
        <v>1071</v>
      </c>
      <c r="C66" s="133"/>
      <c r="D66" s="133" t="s">
        <v>100</v>
      </c>
      <c r="E66" s="134"/>
      <c r="F66" s="143">
        <v>1</v>
      </c>
      <c r="G66" s="146" t="s">
        <v>1072</v>
      </c>
      <c r="H66" s="146">
        <v>30495.16</v>
      </c>
      <c r="I66" s="276">
        <f>SUM(I67:I72)</f>
        <v>30495.16</v>
      </c>
    </row>
    <row r="67" spans="1:9" ht="51.95" customHeight="1" x14ac:dyDescent="0.2">
      <c r="A67" s="169" t="s">
        <v>1142</v>
      </c>
      <c r="B67" s="136" t="s">
        <v>1143</v>
      </c>
      <c r="C67" s="136" t="s">
        <v>1075</v>
      </c>
      <c r="D67" s="136" t="s">
        <v>101</v>
      </c>
      <c r="E67" s="137" t="s">
        <v>33</v>
      </c>
      <c r="F67" s="144">
        <v>22</v>
      </c>
      <c r="G67" s="147">
        <v>539.24</v>
      </c>
      <c r="H67" s="147">
        <v>694.64</v>
      </c>
      <c r="I67" s="277">
        <f t="shared" si="0"/>
        <v>15282.08</v>
      </c>
    </row>
    <row r="68" spans="1:9" ht="39" customHeight="1" x14ac:dyDescent="0.2">
      <c r="A68" s="169" t="s">
        <v>1144</v>
      </c>
      <c r="B68" s="136" t="s">
        <v>1145</v>
      </c>
      <c r="C68" s="136" t="s">
        <v>1075</v>
      </c>
      <c r="D68" s="136" t="s">
        <v>102</v>
      </c>
      <c r="E68" s="137" t="s">
        <v>33</v>
      </c>
      <c r="F68" s="144">
        <v>12</v>
      </c>
      <c r="G68" s="147">
        <v>148.02000000000001</v>
      </c>
      <c r="H68" s="147">
        <v>190.67</v>
      </c>
      <c r="I68" s="277">
        <f t="shared" si="0"/>
        <v>2288.04</v>
      </c>
    </row>
    <row r="69" spans="1:9" ht="51.95" customHeight="1" x14ac:dyDescent="0.2">
      <c r="A69" s="169" t="s">
        <v>1146</v>
      </c>
      <c r="B69" s="136" t="s">
        <v>1147</v>
      </c>
      <c r="C69" s="136" t="s">
        <v>1075</v>
      </c>
      <c r="D69" s="136" t="s">
        <v>103</v>
      </c>
      <c r="E69" s="137" t="s">
        <v>33</v>
      </c>
      <c r="F69" s="144">
        <v>10</v>
      </c>
      <c r="G69" s="147">
        <v>374.89</v>
      </c>
      <c r="H69" s="147">
        <v>482.93</v>
      </c>
      <c r="I69" s="277">
        <f t="shared" si="0"/>
        <v>4829.3</v>
      </c>
    </row>
    <row r="70" spans="1:9" ht="26.1" customHeight="1" x14ac:dyDescent="0.2">
      <c r="A70" s="169" t="s">
        <v>1148</v>
      </c>
      <c r="B70" s="136" t="s">
        <v>1149</v>
      </c>
      <c r="C70" s="136" t="s">
        <v>1075</v>
      </c>
      <c r="D70" s="136" t="s">
        <v>104</v>
      </c>
      <c r="E70" s="137" t="s">
        <v>33</v>
      </c>
      <c r="F70" s="144">
        <v>12</v>
      </c>
      <c r="G70" s="147">
        <v>172.66</v>
      </c>
      <c r="H70" s="147">
        <v>222.42</v>
      </c>
      <c r="I70" s="277">
        <f t="shared" si="0"/>
        <v>2669.04</v>
      </c>
    </row>
    <row r="71" spans="1:9" ht="39" customHeight="1" x14ac:dyDescent="0.2">
      <c r="A71" s="169" t="s">
        <v>1150</v>
      </c>
      <c r="B71" s="136" t="s">
        <v>1151</v>
      </c>
      <c r="C71" s="136" t="s">
        <v>1075</v>
      </c>
      <c r="D71" s="136" t="s">
        <v>105</v>
      </c>
      <c r="E71" s="137" t="s">
        <v>33</v>
      </c>
      <c r="F71" s="144">
        <v>12</v>
      </c>
      <c r="G71" s="147">
        <v>57.27</v>
      </c>
      <c r="H71" s="147">
        <v>73.77</v>
      </c>
      <c r="I71" s="277">
        <f t="shared" si="0"/>
        <v>885.24</v>
      </c>
    </row>
    <row r="72" spans="1:9" ht="26.1" customHeight="1" x14ac:dyDescent="0.2">
      <c r="A72" s="169" t="s">
        <v>1152</v>
      </c>
      <c r="B72" s="136" t="s">
        <v>1153</v>
      </c>
      <c r="C72" s="136" t="s">
        <v>1090</v>
      </c>
      <c r="D72" s="136" t="s">
        <v>106</v>
      </c>
      <c r="E72" s="137" t="s">
        <v>16</v>
      </c>
      <c r="F72" s="144">
        <v>22</v>
      </c>
      <c r="G72" s="147">
        <v>160.25</v>
      </c>
      <c r="H72" s="147">
        <v>206.43</v>
      </c>
      <c r="I72" s="277">
        <f t="shared" ref="I72:I134" si="1">TRUNC(F72*H72,2)</f>
        <v>4541.46</v>
      </c>
    </row>
    <row r="73" spans="1:9" ht="24" customHeight="1" x14ac:dyDescent="0.2">
      <c r="A73" s="166" t="s">
        <v>1154</v>
      </c>
      <c r="B73" s="133" t="s">
        <v>1071</v>
      </c>
      <c r="C73" s="133"/>
      <c r="D73" s="133" t="s">
        <v>1155</v>
      </c>
      <c r="E73" s="134"/>
      <c r="F73" s="143">
        <v>1</v>
      </c>
      <c r="G73" s="146" t="s">
        <v>1072</v>
      </c>
      <c r="H73" s="146">
        <v>45519.28</v>
      </c>
      <c r="I73" s="276">
        <f>SUM(I74:I90)</f>
        <v>52106.479999999996</v>
      </c>
    </row>
    <row r="74" spans="1:9" ht="39" customHeight="1" x14ac:dyDescent="0.2">
      <c r="A74" s="169" t="s">
        <v>967</v>
      </c>
      <c r="B74" s="136" t="s">
        <v>1156</v>
      </c>
      <c r="C74" s="136" t="s">
        <v>1075</v>
      </c>
      <c r="D74" s="136" t="s">
        <v>667</v>
      </c>
      <c r="E74" s="137" t="s">
        <v>33</v>
      </c>
      <c r="F74" s="144">
        <v>1</v>
      </c>
      <c r="G74" s="147">
        <v>30.81</v>
      </c>
      <c r="H74" s="147">
        <v>39.68</v>
      </c>
      <c r="I74" s="277">
        <f t="shared" si="1"/>
        <v>39.68</v>
      </c>
    </row>
    <row r="75" spans="1:9" ht="39" customHeight="1" x14ac:dyDescent="0.2">
      <c r="A75" s="169" t="s">
        <v>966</v>
      </c>
      <c r="B75" s="136" t="s">
        <v>1157</v>
      </c>
      <c r="C75" s="136" t="s">
        <v>1075</v>
      </c>
      <c r="D75" s="136" t="s">
        <v>935</v>
      </c>
      <c r="E75" s="137" t="s">
        <v>33</v>
      </c>
      <c r="F75" s="144">
        <v>1</v>
      </c>
      <c r="G75" s="147">
        <v>18</v>
      </c>
      <c r="H75" s="147">
        <v>23.18</v>
      </c>
      <c r="I75" s="277">
        <f t="shared" si="1"/>
        <v>23.18</v>
      </c>
    </row>
    <row r="76" spans="1:9" ht="39" customHeight="1" x14ac:dyDescent="0.2">
      <c r="A76" s="169" t="s">
        <v>965</v>
      </c>
      <c r="B76" s="136" t="s">
        <v>1158</v>
      </c>
      <c r="C76" s="136" t="s">
        <v>1075</v>
      </c>
      <c r="D76" s="136" t="s">
        <v>934</v>
      </c>
      <c r="E76" s="137" t="s">
        <v>33</v>
      </c>
      <c r="F76" s="144">
        <v>4</v>
      </c>
      <c r="G76" s="147">
        <v>11.72</v>
      </c>
      <c r="H76" s="147">
        <v>15.09</v>
      </c>
      <c r="I76" s="277">
        <f t="shared" si="1"/>
        <v>60.36</v>
      </c>
    </row>
    <row r="77" spans="1:9" ht="26.1" customHeight="1" x14ac:dyDescent="0.2">
      <c r="A77" s="169" t="s">
        <v>964</v>
      </c>
      <c r="B77" s="136" t="s">
        <v>1159</v>
      </c>
      <c r="C77" s="136" t="s">
        <v>1075</v>
      </c>
      <c r="D77" s="136" t="s">
        <v>671</v>
      </c>
      <c r="E77" s="137" t="s">
        <v>33</v>
      </c>
      <c r="F77" s="144">
        <v>4</v>
      </c>
      <c r="G77" s="147">
        <v>16.27</v>
      </c>
      <c r="H77" s="147">
        <v>20.95</v>
      </c>
      <c r="I77" s="277">
        <f t="shared" si="1"/>
        <v>83.8</v>
      </c>
    </row>
    <row r="78" spans="1:9" ht="39" customHeight="1" x14ac:dyDescent="0.2">
      <c r="A78" s="169" t="s">
        <v>963</v>
      </c>
      <c r="B78" s="136" t="s">
        <v>1160</v>
      </c>
      <c r="C78" s="136" t="s">
        <v>1075</v>
      </c>
      <c r="D78" s="136" t="s">
        <v>933</v>
      </c>
      <c r="E78" s="137" t="s">
        <v>33</v>
      </c>
      <c r="F78" s="144">
        <v>8</v>
      </c>
      <c r="G78" s="147">
        <v>11.22</v>
      </c>
      <c r="H78" s="147">
        <v>14.45</v>
      </c>
      <c r="I78" s="277">
        <f t="shared" si="1"/>
        <v>115.6</v>
      </c>
    </row>
    <row r="79" spans="1:9" ht="39" customHeight="1" x14ac:dyDescent="0.2">
      <c r="A79" s="169" t="s">
        <v>962</v>
      </c>
      <c r="B79" s="136" t="s">
        <v>1161</v>
      </c>
      <c r="C79" s="136" t="s">
        <v>1075</v>
      </c>
      <c r="D79" s="136" t="s">
        <v>675</v>
      </c>
      <c r="E79" s="137" t="s">
        <v>10</v>
      </c>
      <c r="F79" s="144">
        <f>231</f>
        <v>231</v>
      </c>
      <c r="G79" s="147">
        <v>4.33</v>
      </c>
      <c r="H79" s="147">
        <v>5.57</v>
      </c>
      <c r="I79" s="277">
        <f t="shared" si="1"/>
        <v>1286.67</v>
      </c>
    </row>
    <row r="80" spans="1:9" ht="39" customHeight="1" x14ac:dyDescent="0.2">
      <c r="A80" s="169" t="s">
        <v>961</v>
      </c>
      <c r="B80" s="136" t="s">
        <v>1162</v>
      </c>
      <c r="C80" s="136" t="s">
        <v>1075</v>
      </c>
      <c r="D80" s="136" t="s">
        <v>932</v>
      </c>
      <c r="E80" s="137" t="s">
        <v>10</v>
      </c>
      <c r="F80" s="144">
        <v>87</v>
      </c>
      <c r="G80" s="147">
        <v>6.73</v>
      </c>
      <c r="H80" s="147">
        <v>8.66</v>
      </c>
      <c r="I80" s="277">
        <f t="shared" si="1"/>
        <v>753.42</v>
      </c>
    </row>
    <row r="81" spans="1:9" ht="39" customHeight="1" x14ac:dyDescent="0.2">
      <c r="A81" s="169" t="s">
        <v>960</v>
      </c>
      <c r="B81" s="136" t="s">
        <v>1163</v>
      </c>
      <c r="C81" s="136" t="s">
        <v>1075</v>
      </c>
      <c r="D81" s="136" t="s">
        <v>959</v>
      </c>
      <c r="E81" s="137" t="s">
        <v>33</v>
      </c>
      <c r="F81" s="144">
        <v>1</v>
      </c>
      <c r="G81" s="147">
        <v>6709.5</v>
      </c>
      <c r="H81" s="147">
        <v>8643.17</v>
      </c>
      <c r="I81" s="277">
        <f t="shared" si="1"/>
        <v>8643.17</v>
      </c>
    </row>
    <row r="82" spans="1:9" ht="39" customHeight="1" x14ac:dyDescent="0.2">
      <c r="A82" s="169" t="s">
        <v>958</v>
      </c>
      <c r="B82" s="136" t="s">
        <v>1164</v>
      </c>
      <c r="C82" s="136" t="s">
        <v>1075</v>
      </c>
      <c r="D82" s="136" t="s">
        <v>683</v>
      </c>
      <c r="E82" s="137" t="s">
        <v>33</v>
      </c>
      <c r="F82" s="144">
        <v>1</v>
      </c>
      <c r="G82" s="147">
        <v>27.29</v>
      </c>
      <c r="H82" s="147">
        <v>35.15</v>
      </c>
      <c r="I82" s="277">
        <f t="shared" si="1"/>
        <v>35.15</v>
      </c>
    </row>
    <row r="83" spans="1:9" ht="39" customHeight="1" x14ac:dyDescent="0.2">
      <c r="A83" s="169" t="s">
        <v>957</v>
      </c>
      <c r="B83" s="136" t="s">
        <v>1165</v>
      </c>
      <c r="C83" s="136" t="s">
        <v>1075</v>
      </c>
      <c r="D83" s="136" t="s">
        <v>926</v>
      </c>
      <c r="E83" s="137" t="s">
        <v>33</v>
      </c>
      <c r="F83" s="144">
        <f>182</f>
        <v>182</v>
      </c>
      <c r="G83" s="147">
        <v>28.57</v>
      </c>
      <c r="H83" s="147">
        <v>36.799999999999997</v>
      </c>
      <c r="I83" s="277">
        <f t="shared" si="1"/>
        <v>6697.6</v>
      </c>
    </row>
    <row r="84" spans="1:9" ht="39" customHeight="1" x14ac:dyDescent="0.2">
      <c r="A84" s="169" t="s">
        <v>956</v>
      </c>
      <c r="B84" s="136" t="s">
        <v>1166</v>
      </c>
      <c r="C84" s="136" t="s">
        <v>1075</v>
      </c>
      <c r="D84" s="136" t="s">
        <v>925</v>
      </c>
      <c r="E84" s="137" t="s">
        <v>33</v>
      </c>
      <c r="F84" s="144">
        <v>1</v>
      </c>
      <c r="G84" s="147">
        <v>44</v>
      </c>
      <c r="H84" s="147">
        <v>56.68</v>
      </c>
      <c r="I84" s="277">
        <f t="shared" si="1"/>
        <v>56.68</v>
      </c>
    </row>
    <row r="85" spans="1:9" ht="26.1" customHeight="1" x14ac:dyDescent="0.2">
      <c r="A85" s="169" t="s">
        <v>955</v>
      </c>
      <c r="B85" s="136" t="s">
        <v>1167</v>
      </c>
      <c r="C85" s="136" t="s">
        <v>1075</v>
      </c>
      <c r="D85" s="136" t="s">
        <v>954</v>
      </c>
      <c r="E85" s="137" t="s">
        <v>33</v>
      </c>
      <c r="F85" s="144">
        <v>1</v>
      </c>
      <c r="G85" s="147">
        <v>12.98</v>
      </c>
      <c r="H85" s="147">
        <v>16.72</v>
      </c>
      <c r="I85" s="277">
        <f t="shared" si="1"/>
        <v>16.72</v>
      </c>
    </row>
    <row r="86" spans="1:9" ht="26.1" customHeight="1" x14ac:dyDescent="0.2">
      <c r="A86" s="169" t="s">
        <v>953</v>
      </c>
      <c r="B86" s="136" t="s">
        <v>1168</v>
      </c>
      <c r="C86" s="136" t="s">
        <v>1075</v>
      </c>
      <c r="D86" s="136" t="s">
        <v>687</v>
      </c>
      <c r="E86" s="137" t="s">
        <v>33</v>
      </c>
      <c r="F86" s="144">
        <v>1</v>
      </c>
      <c r="G86" s="147">
        <v>14.25</v>
      </c>
      <c r="H86" s="147">
        <v>18.350000000000001</v>
      </c>
      <c r="I86" s="277">
        <f t="shared" si="1"/>
        <v>18.350000000000001</v>
      </c>
    </row>
    <row r="87" spans="1:9" ht="26.1" customHeight="1" x14ac:dyDescent="0.2">
      <c r="A87" s="169" t="s">
        <v>952</v>
      </c>
      <c r="B87" s="136" t="s">
        <v>1169</v>
      </c>
      <c r="C87" s="136" t="s">
        <v>1075</v>
      </c>
      <c r="D87" s="136" t="s">
        <v>951</v>
      </c>
      <c r="E87" s="137" t="s">
        <v>33</v>
      </c>
      <c r="F87" s="144">
        <v>1</v>
      </c>
      <c r="G87" s="147">
        <v>14.25</v>
      </c>
      <c r="H87" s="147">
        <v>18.350000000000001</v>
      </c>
      <c r="I87" s="277">
        <f t="shared" si="1"/>
        <v>18.350000000000001</v>
      </c>
    </row>
    <row r="88" spans="1:9" ht="51.95" customHeight="1" x14ac:dyDescent="0.2">
      <c r="A88" s="169" t="s">
        <v>950</v>
      </c>
      <c r="B88" s="136" t="s">
        <v>1170</v>
      </c>
      <c r="C88" s="136" t="s">
        <v>1075</v>
      </c>
      <c r="D88" s="136" t="s">
        <v>689</v>
      </c>
      <c r="E88" s="137" t="s">
        <v>10</v>
      </c>
      <c r="F88" s="144">
        <v>39</v>
      </c>
      <c r="G88" s="147">
        <v>19.48</v>
      </c>
      <c r="H88" s="147">
        <v>25.09</v>
      </c>
      <c r="I88" s="277">
        <f t="shared" si="1"/>
        <v>978.51</v>
      </c>
    </row>
    <row r="89" spans="1:9" ht="39" customHeight="1" x14ac:dyDescent="0.2">
      <c r="A89" s="169" t="s">
        <v>949</v>
      </c>
      <c r="B89" s="136" t="s">
        <v>1171</v>
      </c>
      <c r="C89" s="136" t="s">
        <v>1090</v>
      </c>
      <c r="D89" s="136" t="s">
        <v>919</v>
      </c>
      <c r="E89" s="137" t="s">
        <v>33</v>
      </c>
      <c r="F89" s="144">
        <v>12</v>
      </c>
      <c r="G89" s="147">
        <v>54.9</v>
      </c>
      <c r="H89" s="147">
        <v>70.72</v>
      </c>
      <c r="I89" s="277">
        <f t="shared" si="1"/>
        <v>848.64</v>
      </c>
    </row>
    <row r="90" spans="1:9" ht="39" customHeight="1" x14ac:dyDescent="0.2">
      <c r="A90" s="169" t="s">
        <v>948</v>
      </c>
      <c r="B90" s="136" t="s">
        <v>1172</v>
      </c>
      <c r="C90" s="136" t="s">
        <v>1090</v>
      </c>
      <c r="D90" s="136" t="s">
        <v>936</v>
      </c>
      <c r="E90" s="137" t="s">
        <v>16</v>
      </c>
      <c r="F90" s="144">
        <v>129</v>
      </c>
      <c r="G90" s="147">
        <v>195.16</v>
      </c>
      <c r="H90" s="147">
        <v>251.4</v>
      </c>
      <c r="I90" s="277">
        <f t="shared" si="1"/>
        <v>32430.6</v>
      </c>
    </row>
    <row r="91" spans="1:9" ht="24" customHeight="1" x14ac:dyDescent="0.2">
      <c r="A91" s="166" t="s">
        <v>947</v>
      </c>
      <c r="B91" s="133" t="s">
        <v>1071</v>
      </c>
      <c r="C91" s="133"/>
      <c r="D91" s="133" t="s">
        <v>505</v>
      </c>
      <c r="E91" s="134"/>
      <c r="F91" s="143">
        <v>1</v>
      </c>
      <c r="G91" s="146" t="s">
        <v>1072</v>
      </c>
      <c r="H91" s="146">
        <v>2928.8</v>
      </c>
      <c r="I91" s="276">
        <f>SUM(I92:I99)</f>
        <v>2928.8</v>
      </c>
    </row>
    <row r="92" spans="1:9" ht="24" customHeight="1" x14ac:dyDescent="0.2">
      <c r="A92" s="169" t="s">
        <v>946</v>
      </c>
      <c r="B92" s="136" t="s">
        <v>1173</v>
      </c>
      <c r="C92" s="136" t="s">
        <v>1090</v>
      </c>
      <c r="D92" s="136" t="s">
        <v>917</v>
      </c>
      <c r="E92" s="137" t="s">
        <v>33</v>
      </c>
      <c r="F92" s="144">
        <v>3</v>
      </c>
      <c r="G92" s="147">
        <v>23.36</v>
      </c>
      <c r="H92" s="147">
        <v>30.09</v>
      </c>
      <c r="I92" s="277">
        <f t="shared" si="1"/>
        <v>90.27</v>
      </c>
    </row>
    <row r="93" spans="1:9" ht="26.1" customHeight="1" x14ac:dyDescent="0.2">
      <c r="A93" s="169" t="s">
        <v>945</v>
      </c>
      <c r="B93" s="136" t="s">
        <v>1174</v>
      </c>
      <c r="C93" s="136" t="s">
        <v>1075</v>
      </c>
      <c r="D93" s="136" t="s">
        <v>944</v>
      </c>
      <c r="E93" s="137" t="s">
        <v>33</v>
      </c>
      <c r="F93" s="144">
        <v>1</v>
      </c>
      <c r="G93" s="147">
        <v>1027.92</v>
      </c>
      <c r="H93" s="147">
        <v>1324.16</v>
      </c>
      <c r="I93" s="277">
        <f t="shared" si="1"/>
        <v>1324.16</v>
      </c>
    </row>
    <row r="94" spans="1:9" ht="39" customHeight="1" x14ac:dyDescent="0.2">
      <c r="A94" s="169" t="s">
        <v>943</v>
      </c>
      <c r="B94" s="136" t="s">
        <v>1156</v>
      </c>
      <c r="C94" s="136" t="s">
        <v>1075</v>
      </c>
      <c r="D94" s="136" t="s">
        <v>667</v>
      </c>
      <c r="E94" s="137" t="s">
        <v>33</v>
      </c>
      <c r="F94" s="144">
        <v>1</v>
      </c>
      <c r="G94" s="147">
        <v>30.81</v>
      </c>
      <c r="H94" s="147">
        <v>39.68</v>
      </c>
      <c r="I94" s="277">
        <f t="shared" si="1"/>
        <v>39.68</v>
      </c>
    </row>
    <row r="95" spans="1:9" ht="39" customHeight="1" x14ac:dyDescent="0.2">
      <c r="A95" s="169" t="s">
        <v>942</v>
      </c>
      <c r="B95" s="136" t="s">
        <v>1175</v>
      </c>
      <c r="C95" s="136" t="s">
        <v>1075</v>
      </c>
      <c r="D95" s="136" t="s">
        <v>673</v>
      </c>
      <c r="E95" s="137" t="s">
        <v>33</v>
      </c>
      <c r="F95" s="144">
        <v>8</v>
      </c>
      <c r="G95" s="147">
        <v>8.26</v>
      </c>
      <c r="H95" s="147">
        <v>10.64</v>
      </c>
      <c r="I95" s="277">
        <f t="shared" si="1"/>
        <v>85.12</v>
      </c>
    </row>
    <row r="96" spans="1:9" ht="39" customHeight="1" x14ac:dyDescent="0.2">
      <c r="A96" s="169" t="s">
        <v>941</v>
      </c>
      <c r="B96" s="136" t="s">
        <v>1176</v>
      </c>
      <c r="C96" s="136" t="s">
        <v>1075</v>
      </c>
      <c r="D96" s="136" t="s">
        <v>910</v>
      </c>
      <c r="E96" s="137" t="s">
        <v>10</v>
      </c>
      <c r="F96" s="144">
        <v>49</v>
      </c>
      <c r="G96" s="147">
        <v>9.39</v>
      </c>
      <c r="H96" s="147">
        <v>12.09</v>
      </c>
      <c r="I96" s="277">
        <f t="shared" si="1"/>
        <v>592.41</v>
      </c>
    </row>
    <row r="97" spans="1:9" ht="24" customHeight="1" x14ac:dyDescent="0.2">
      <c r="A97" s="169" t="s">
        <v>940</v>
      </c>
      <c r="B97" s="136" t="s">
        <v>1177</v>
      </c>
      <c r="C97" s="136" t="s">
        <v>1090</v>
      </c>
      <c r="D97" s="136" t="s">
        <v>908</v>
      </c>
      <c r="E97" s="137" t="s">
        <v>33</v>
      </c>
      <c r="F97" s="144">
        <v>2</v>
      </c>
      <c r="G97" s="147">
        <v>7.59</v>
      </c>
      <c r="H97" s="147">
        <v>9.77</v>
      </c>
      <c r="I97" s="277">
        <f t="shared" si="1"/>
        <v>19.54</v>
      </c>
    </row>
    <row r="98" spans="1:9" ht="24" customHeight="1" x14ac:dyDescent="0.2">
      <c r="A98" s="169" t="s">
        <v>939</v>
      </c>
      <c r="B98" s="136" t="s">
        <v>1178</v>
      </c>
      <c r="C98" s="136" t="s">
        <v>1090</v>
      </c>
      <c r="D98" s="136" t="s">
        <v>938</v>
      </c>
      <c r="E98" s="137" t="s">
        <v>10</v>
      </c>
      <c r="F98" s="144">
        <v>1</v>
      </c>
      <c r="G98" s="147">
        <v>43.74</v>
      </c>
      <c r="H98" s="147">
        <v>56.34</v>
      </c>
      <c r="I98" s="277">
        <f t="shared" si="1"/>
        <v>56.34</v>
      </c>
    </row>
    <row r="99" spans="1:9" ht="24" customHeight="1" x14ac:dyDescent="0.2">
      <c r="A99" s="169" t="s">
        <v>937</v>
      </c>
      <c r="B99" s="136" t="s">
        <v>1179</v>
      </c>
      <c r="C99" s="136" t="s">
        <v>1090</v>
      </c>
      <c r="D99" s="136" t="s">
        <v>922</v>
      </c>
      <c r="E99" s="137" t="s">
        <v>10</v>
      </c>
      <c r="F99" s="144">
        <v>28</v>
      </c>
      <c r="G99" s="147">
        <v>20</v>
      </c>
      <c r="H99" s="147">
        <v>25.76</v>
      </c>
      <c r="I99" s="277">
        <f t="shared" si="1"/>
        <v>721.28</v>
      </c>
    </row>
    <row r="100" spans="1:9" ht="24" customHeight="1" x14ac:dyDescent="0.2">
      <c r="A100" s="166" t="s">
        <v>1180</v>
      </c>
      <c r="B100" s="133" t="s">
        <v>1071</v>
      </c>
      <c r="C100" s="133"/>
      <c r="D100" s="133" t="s">
        <v>1002</v>
      </c>
      <c r="E100" s="134"/>
      <c r="F100" s="143">
        <v>1</v>
      </c>
      <c r="G100" s="146" t="s">
        <v>1072</v>
      </c>
      <c r="H100" s="146">
        <v>2219.25</v>
      </c>
      <c r="I100" s="276">
        <f>SUM(I101:I108)</f>
        <v>2219.2500000000005</v>
      </c>
    </row>
    <row r="101" spans="1:9" ht="26.1" customHeight="1" x14ac:dyDescent="0.2">
      <c r="A101" s="169" t="s">
        <v>1003</v>
      </c>
      <c r="B101" s="136" t="s">
        <v>1181</v>
      </c>
      <c r="C101" s="136" t="s">
        <v>1075</v>
      </c>
      <c r="D101" s="136" t="s">
        <v>1004</v>
      </c>
      <c r="E101" s="137" t="s">
        <v>10</v>
      </c>
      <c r="F101" s="144">
        <v>65.459999999999994</v>
      </c>
      <c r="G101" s="147">
        <v>15.58</v>
      </c>
      <c r="H101" s="147">
        <v>20.07</v>
      </c>
      <c r="I101" s="277">
        <f t="shared" si="1"/>
        <v>1313.78</v>
      </c>
    </row>
    <row r="102" spans="1:9" ht="39" customHeight="1" x14ac:dyDescent="0.2">
      <c r="A102" s="169" t="s">
        <v>1005</v>
      </c>
      <c r="B102" s="136" t="s">
        <v>1182</v>
      </c>
      <c r="C102" s="136" t="s">
        <v>1075</v>
      </c>
      <c r="D102" s="136" t="s">
        <v>1006</v>
      </c>
      <c r="E102" s="137" t="s">
        <v>33</v>
      </c>
      <c r="F102" s="144">
        <v>3</v>
      </c>
      <c r="G102" s="147">
        <v>11.7</v>
      </c>
      <c r="H102" s="147">
        <v>15.07</v>
      </c>
      <c r="I102" s="277">
        <f t="shared" si="1"/>
        <v>45.21</v>
      </c>
    </row>
    <row r="103" spans="1:9" ht="39" customHeight="1" x14ac:dyDescent="0.2">
      <c r="A103" s="169" t="s">
        <v>1007</v>
      </c>
      <c r="B103" s="136" t="s">
        <v>1183</v>
      </c>
      <c r="C103" s="136" t="s">
        <v>1075</v>
      </c>
      <c r="D103" s="136" t="s">
        <v>1008</v>
      </c>
      <c r="E103" s="137" t="s">
        <v>33</v>
      </c>
      <c r="F103" s="144">
        <v>4</v>
      </c>
      <c r="G103" s="147">
        <v>7.26</v>
      </c>
      <c r="H103" s="147">
        <v>9.35</v>
      </c>
      <c r="I103" s="277">
        <f t="shared" si="1"/>
        <v>37.4</v>
      </c>
    </row>
    <row r="104" spans="1:9" ht="39" customHeight="1" x14ac:dyDescent="0.2">
      <c r="A104" s="169" t="s">
        <v>1009</v>
      </c>
      <c r="B104" s="136" t="s">
        <v>1184</v>
      </c>
      <c r="C104" s="136" t="s">
        <v>1075</v>
      </c>
      <c r="D104" s="136" t="s">
        <v>1010</v>
      </c>
      <c r="E104" s="137" t="s">
        <v>33</v>
      </c>
      <c r="F104" s="144">
        <v>1</v>
      </c>
      <c r="G104" s="147">
        <v>7.71</v>
      </c>
      <c r="H104" s="147">
        <v>9.93</v>
      </c>
      <c r="I104" s="277">
        <f t="shared" si="1"/>
        <v>9.93</v>
      </c>
    </row>
    <row r="105" spans="1:9" ht="39" customHeight="1" x14ac:dyDescent="0.2">
      <c r="A105" s="169" t="s">
        <v>1011</v>
      </c>
      <c r="B105" s="136" t="s">
        <v>1185</v>
      </c>
      <c r="C105" s="136" t="s">
        <v>1075</v>
      </c>
      <c r="D105" s="136" t="s">
        <v>1012</v>
      </c>
      <c r="E105" s="137" t="s">
        <v>33</v>
      </c>
      <c r="F105" s="144">
        <v>20</v>
      </c>
      <c r="G105" s="147">
        <v>6.96</v>
      </c>
      <c r="H105" s="147">
        <v>8.9600000000000009</v>
      </c>
      <c r="I105" s="277">
        <f t="shared" si="1"/>
        <v>179.2</v>
      </c>
    </row>
    <row r="106" spans="1:9" ht="39" customHeight="1" x14ac:dyDescent="0.2">
      <c r="A106" s="169" t="s">
        <v>1013</v>
      </c>
      <c r="B106" s="136" t="s">
        <v>1186</v>
      </c>
      <c r="C106" s="136" t="s">
        <v>1075</v>
      </c>
      <c r="D106" s="136" t="s">
        <v>1014</v>
      </c>
      <c r="E106" s="137" t="s">
        <v>33</v>
      </c>
      <c r="F106" s="144">
        <v>7</v>
      </c>
      <c r="G106" s="147">
        <v>11.28</v>
      </c>
      <c r="H106" s="147">
        <v>14.53</v>
      </c>
      <c r="I106" s="277">
        <f t="shared" si="1"/>
        <v>101.71</v>
      </c>
    </row>
    <row r="107" spans="1:9" ht="39" customHeight="1" x14ac:dyDescent="0.2">
      <c r="A107" s="169" t="s">
        <v>1015</v>
      </c>
      <c r="B107" s="136" t="s">
        <v>1187</v>
      </c>
      <c r="C107" s="136" t="s">
        <v>1075</v>
      </c>
      <c r="D107" s="136" t="s">
        <v>1016</v>
      </c>
      <c r="E107" s="137" t="s">
        <v>33</v>
      </c>
      <c r="F107" s="144">
        <v>3</v>
      </c>
      <c r="G107" s="147">
        <v>9.68</v>
      </c>
      <c r="H107" s="147">
        <v>12.46</v>
      </c>
      <c r="I107" s="277">
        <f t="shared" si="1"/>
        <v>37.380000000000003</v>
      </c>
    </row>
    <row r="108" spans="1:9" ht="24" customHeight="1" x14ac:dyDescent="0.2">
      <c r="A108" s="169" t="s">
        <v>1017</v>
      </c>
      <c r="B108" s="136" t="s">
        <v>1188</v>
      </c>
      <c r="C108" s="136" t="s">
        <v>1090</v>
      </c>
      <c r="D108" s="136" t="s">
        <v>458</v>
      </c>
      <c r="E108" s="137" t="s">
        <v>33</v>
      </c>
      <c r="F108" s="144">
        <v>1</v>
      </c>
      <c r="G108" s="147">
        <v>383.98</v>
      </c>
      <c r="H108" s="147">
        <v>494.64</v>
      </c>
      <c r="I108" s="277">
        <f t="shared" si="1"/>
        <v>494.64</v>
      </c>
    </row>
    <row r="109" spans="1:9" ht="24" customHeight="1" x14ac:dyDescent="0.2">
      <c r="A109" s="166" t="s">
        <v>107</v>
      </c>
      <c r="B109" s="133" t="s">
        <v>1071</v>
      </c>
      <c r="C109" s="133"/>
      <c r="D109" s="133" t="s">
        <v>109</v>
      </c>
      <c r="E109" s="134"/>
      <c r="F109" s="143">
        <v>1</v>
      </c>
      <c r="G109" s="146" t="s">
        <v>1072</v>
      </c>
      <c r="H109" s="146">
        <v>652241.26</v>
      </c>
      <c r="I109" s="276">
        <f>I110+I122+I130+I135+I137+I146+I161+I165+I176</f>
        <v>645843.59999999986</v>
      </c>
    </row>
    <row r="110" spans="1:9" ht="24" customHeight="1" x14ac:dyDescent="0.2">
      <c r="A110" s="166" t="s">
        <v>241</v>
      </c>
      <c r="B110" s="133" t="s">
        <v>1071</v>
      </c>
      <c r="C110" s="133"/>
      <c r="D110" s="133" t="s">
        <v>25</v>
      </c>
      <c r="E110" s="134"/>
      <c r="F110" s="143">
        <v>1</v>
      </c>
      <c r="G110" s="146" t="s">
        <v>1072</v>
      </c>
      <c r="H110" s="146">
        <v>32349.96</v>
      </c>
      <c r="I110" s="276">
        <f>SUM(I111:I121)</f>
        <v>32349.96</v>
      </c>
    </row>
    <row r="111" spans="1:9" ht="39" customHeight="1" x14ac:dyDescent="0.2">
      <c r="A111" s="169" t="s">
        <v>242</v>
      </c>
      <c r="B111" s="136" t="s">
        <v>1189</v>
      </c>
      <c r="C111" s="136" t="s">
        <v>1090</v>
      </c>
      <c r="D111" s="136" t="s">
        <v>111</v>
      </c>
      <c r="E111" s="137" t="s">
        <v>13</v>
      </c>
      <c r="F111" s="144">
        <v>306.95999999999998</v>
      </c>
      <c r="G111" s="147">
        <v>14.92</v>
      </c>
      <c r="H111" s="147">
        <v>19.21</v>
      </c>
      <c r="I111" s="277">
        <f t="shared" si="1"/>
        <v>5896.7</v>
      </c>
    </row>
    <row r="112" spans="1:9" ht="39" customHeight="1" x14ac:dyDescent="0.2">
      <c r="A112" s="169" t="s">
        <v>243</v>
      </c>
      <c r="B112" s="136" t="s">
        <v>1190</v>
      </c>
      <c r="C112" s="136" t="s">
        <v>1075</v>
      </c>
      <c r="D112" s="136" t="s">
        <v>112</v>
      </c>
      <c r="E112" s="137" t="s">
        <v>19</v>
      </c>
      <c r="F112" s="144">
        <v>5.88</v>
      </c>
      <c r="G112" s="147">
        <v>104.5</v>
      </c>
      <c r="H112" s="147">
        <v>134.61000000000001</v>
      </c>
      <c r="I112" s="277">
        <f t="shared" si="1"/>
        <v>791.5</v>
      </c>
    </row>
    <row r="113" spans="1:9" ht="26.1" customHeight="1" x14ac:dyDescent="0.2">
      <c r="A113" s="169" t="s">
        <v>244</v>
      </c>
      <c r="B113" s="136" t="s">
        <v>1094</v>
      </c>
      <c r="C113" s="136" t="s">
        <v>1075</v>
      </c>
      <c r="D113" s="136" t="s">
        <v>113</v>
      </c>
      <c r="E113" s="137" t="s">
        <v>19</v>
      </c>
      <c r="F113" s="144">
        <v>7.03</v>
      </c>
      <c r="G113" s="147">
        <v>49.74</v>
      </c>
      <c r="H113" s="147">
        <v>64.069999999999993</v>
      </c>
      <c r="I113" s="277">
        <f t="shared" si="1"/>
        <v>450.41</v>
      </c>
    </row>
    <row r="114" spans="1:9" ht="39" customHeight="1" x14ac:dyDescent="0.2">
      <c r="A114" s="169" t="s">
        <v>245</v>
      </c>
      <c r="B114" s="136" t="s">
        <v>1191</v>
      </c>
      <c r="C114" s="136" t="s">
        <v>1075</v>
      </c>
      <c r="D114" s="136" t="s">
        <v>114</v>
      </c>
      <c r="E114" s="137" t="s">
        <v>19</v>
      </c>
      <c r="F114" s="144">
        <v>0.08</v>
      </c>
      <c r="G114" s="147">
        <v>74.69</v>
      </c>
      <c r="H114" s="147">
        <v>96.21</v>
      </c>
      <c r="I114" s="277">
        <f t="shared" si="1"/>
        <v>7.69</v>
      </c>
    </row>
    <row r="115" spans="1:9" ht="26.1" customHeight="1" x14ac:dyDescent="0.2">
      <c r="A115" s="169" t="s">
        <v>246</v>
      </c>
      <c r="B115" s="136" t="s">
        <v>1192</v>
      </c>
      <c r="C115" s="136" t="s">
        <v>1090</v>
      </c>
      <c r="D115" s="136" t="s">
        <v>115</v>
      </c>
      <c r="E115" s="137" t="s">
        <v>13</v>
      </c>
      <c r="F115" s="144">
        <v>28.95</v>
      </c>
      <c r="G115" s="147">
        <v>37.32</v>
      </c>
      <c r="H115" s="147">
        <v>48.07</v>
      </c>
      <c r="I115" s="277">
        <f t="shared" si="1"/>
        <v>1391.62</v>
      </c>
    </row>
    <row r="116" spans="1:9" ht="24" customHeight="1" x14ac:dyDescent="0.2">
      <c r="A116" s="169" t="s">
        <v>247</v>
      </c>
      <c r="B116" s="136" t="s">
        <v>1193</v>
      </c>
      <c r="C116" s="136" t="s">
        <v>1090</v>
      </c>
      <c r="D116" s="136" t="s">
        <v>116</v>
      </c>
      <c r="E116" s="137" t="s">
        <v>10</v>
      </c>
      <c r="F116" s="144">
        <v>124.48</v>
      </c>
      <c r="G116" s="147">
        <v>19.14</v>
      </c>
      <c r="H116" s="147">
        <v>24.65</v>
      </c>
      <c r="I116" s="277">
        <f t="shared" si="1"/>
        <v>3068.43</v>
      </c>
    </row>
    <row r="117" spans="1:9" ht="24" customHeight="1" x14ac:dyDescent="0.2">
      <c r="A117" s="169" t="s">
        <v>248</v>
      </c>
      <c r="B117" s="136" t="s">
        <v>1194</v>
      </c>
      <c r="C117" s="136" t="s">
        <v>1090</v>
      </c>
      <c r="D117" s="136" t="s">
        <v>117</v>
      </c>
      <c r="E117" s="137" t="s">
        <v>13</v>
      </c>
      <c r="F117" s="144">
        <v>3.84</v>
      </c>
      <c r="G117" s="147">
        <v>18.62</v>
      </c>
      <c r="H117" s="147">
        <v>23.98</v>
      </c>
      <c r="I117" s="277">
        <f t="shared" si="1"/>
        <v>92.08</v>
      </c>
    </row>
    <row r="118" spans="1:9" ht="26.1" customHeight="1" x14ac:dyDescent="0.2">
      <c r="A118" s="169" t="s">
        <v>249</v>
      </c>
      <c r="B118" s="136" t="s">
        <v>1195</v>
      </c>
      <c r="C118" s="136" t="s">
        <v>1090</v>
      </c>
      <c r="D118" s="136" t="s">
        <v>118</v>
      </c>
      <c r="E118" s="137" t="s">
        <v>13</v>
      </c>
      <c r="F118" s="144">
        <v>68.69</v>
      </c>
      <c r="G118" s="147">
        <v>11.82</v>
      </c>
      <c r="H118" s="147">
        <v>15.22</v>
      </c>
      <c r="I118" s="277">
        <f t="shared" si="1"/>
        <v>1045.46</v>
      </c>
    </row>
    <row r="119" spans="1:9" ht="24" customHeight="1" x14ac:dyDescent="0.2">
      <c r="A119" s="169" t="s">
        <v>250</v>
      </c>
      <c r="B119" s="136" t="s">
        <v>1196</v>
      </c>
      <c r="C119" s="136" t="s">
        <v>1090</v>
      </c>
      <c r="D119" s="136" t="s">
        <v>119</v>
      </c>
      <c r="E119" s="137" t="s">
        <v>13</v>
      </c>
      <c r="F119" s="144">
        <v>334.48</v>
      </c>
      <c r="G119" s="147">
        <v>10.25</v>
      </c>
      <c r="H119" s="147">
        <v>13.2</v>
      </c>
      <c r="I119" s="277">
        <f t="shared" si="1"/>
        <v>4415.13</v>
      </c>
    </row>
    <row r="120" spans="1:9" ht="26.1" customHeight="1" x14ac:dyDescent="0.2">
      <c r="A120" s="169" t="s">
        <v>251</v>
      </c>
      <c r="B120" s="136" t="s">
        <v>1197</v>
      </c>
      <c r="C120" s="136" t="s">
        <v>1075</v>
      </c>
      <c r="D120" s="136" t="s">
        <v>120</v>
      </c>
      <c r="E120" s="137" t="s">
        <v>13</v>
      </c>
      <c r="F120" s="144">
        <v>334.48</v>
      </c>
      <c r="G120" s="147">
        <v>33.78</v>
      </c>
      <c r="H120" s="147">
        <v>43.51</v>
      </c>
      <c r="I120" s="277">
        <f t="shared" si="1"/>
        <v>14553.22</v>
      </c>
    </row>
    <row r="121" spans="1:9" ht="24" customHeight="1" x14ac:dyDescent="0.2">
      <c r="A121" s="169" t="s">
        <v>252</v>
      </c>
      <c r="B121" s="136" t="s">
        <v>1198</v>
      </c>
      <c r="C121" s="136" t="s">
        <v>1090</v>
      </c>
      <c r="D121" s="136" t="s">
        <v>121</v>
      </c>
      <c r="E121" s="137" t="s">
        <v>122</v>
      </c>
      <c r="F121" s="144">
        <v>67.2</v>
      </c>
      <c r="G121" s="147">
        <v>7.37</v>
      </c>
      <c r="H121" s="147">
        <v>9.49</v>
      </c>
      <c r="I121" s="277">
        <f t="shared" si="1"/>
        <v>637.72</v>
      </c>
    </row>
    <row r="122" spans="1:9" ht="24" customHeight="1" x14ac:dyDescent="0.2">
      <c r="A122" s="166" t="s">
        <v>253</v>
      </c>
      <c r="B122" s="133" t="s">
        <v>1071</v>
      </c>
      <c r="C122" s="133"/>
      <c r="D122" s="133" t="s">
        <v>124</v>
      </c>
      <c r="E122" s="134"/>
      <c r="F122" s="143">
        <v>1</v>
      </c>
      <c r="G122" s="146" t="s">
        <v>1072</v>
      </c>
      <c r="H122" s="146">
        <v>10179.959999999999</v>
      </c>
      <c r="I122" s="276">
        <f>SUM(I123:I129)</f>
        <v>10179.960000000001</v>
      </c>
    </row>
    <row r="123" spans="1:9" ht="39" customHeight="1" x14ac:dyDescent="0.2">
      <c r="A123" s="169" t="s">
        <v>375</v>
      </c>
      <c r="B123" s="136" t="s">
        <v>1199</v>
      </c>
      <c r="C123" s="136" t="s">
        <v>1075</v>
      </c>
      <c r="D123" s="136" t="s">
        <v>382</v>
      </c>
      <c r="E123" s="137" t="s">
        <v>19</v>
      </c>
      <c r="F123" s="144">
        <v>0.36</v>
      </c>
      <c r="G123" s="147">
        <v>82.27</v>
      </c>
      <c r="H123" s="147">
        <v>105.98</v>
      </c>
      <c r="I123" s="277">
        <f t="shared" si="1"/>
        <v>38.15</v>
      </c>
    </row>
    <row r="124" spans="1:9" ht="26.1" customHeight="1" x14ac:dyDescent="0.2">
      <c r="A124" s="169" t="s">
        <v>376</v>
      </c>
      <c r="B124" s="136" t="s">
        <v>1200</v>
      </c>
      <c r="C124" s="136" t="s">
        <v>1075</v>
      </c>
      <c r="D124" s="136" t="s">
        <v>383</v>
      </c>
      <c r="E124" s="137" t="s">
        <v>13</v>
      </c>
      <c r="F124" s="144">
        <v>1.02</v>
      </c>
      <c r="G124" s="147">
        <v>5.56</v>
      </c>
      <c r="H124" s="147">
        <v>7.16</v>
      </c>
      <c r="I124" s="277">
        <f t="shared" si="1"/>
        <v>7.3</v>
      </c>
    </row>
    <row r="125" spans="1:9" ht="24" customHeight="1" x14ac:dyDescent="0.2">
      <c r="A125" s="169" t="s">
        <v>377</v>
      </c>
      <c r="B125" s="136" t="s">
        <v>1201</v>
      </c>
      <c r="C125" s="136" t="s">
        <v>1090</v>
      </c>
      <c r="D125" s="136" t="s">
        <v>384</v>
      </c>
      <c r="E125" s="137" t="s">
        <v>33</v>
      </c>
      <c r="F125" s="144">
        <v>36</v>
      </c>
      <c r="G125" s="147">
        <v>40.03</v>
      </c>
      <c r="H125" s="147">
        <v>51.56</v>
      </c>
      <c r="I125" s="277">
        <f t="shared" si="1"/>
        <v>1856.16</v>
      </c>
    </row>
    <row r="126" spans="1:9" ht="26.1" customHeight="1" x14ac:dyDescent="0.2">
      <c r="A126" s="169" t="s">
        <v>378</v>
      </c>
      <c r="B126" s="136" t="s">
        <v>1202</v>
      </c>
      <c r="C126" s="136" t="s">
        <v>1075</v>
      </c>
      <c r="D126" s="136" t="s">
        <v>385</v>
      </c>
      <c r="E126" s="137" t="s">
        <v>386</v>
      </c>
      <c r="F126" s="144">
        <v>285.60000000000002</v>
      </c>
      <c r="G126" s="147">
        <v>16.18</v>
      </c>
      <c r="H126" s="147">
        <v>20.84</v>
      </c>
      <c r="I126" s="277">
        <f t="shared" si="1"/>
        <v>5951.9</v>
      </c>
    </row>
    <row r="127" spans="1:9" ht="26.1" customHeight="1" x14ac:dyDescent="0.2">
      <c r="A127" s="169" t="s">
        <v>379</v>
      </c>
      <c r="B127" s="136" t="s">
        <v>1203</v>
      </c>
      <c r="C127" s="136" t="s">
        <v>1090</v>
      </c>
      <c r="D127" s="136" t="s">
        <v>387</v>
      </c>
      <c r="E127" s="137" t="s">
        <v>13</v>
      </c>
      <c r="F127" s="144">
        <v>1.58</v>
      </c>
      <c r="G127" s="147">
        <v>952</v>
      </c>
      <c r="H127" s="147">
        <v>1226.3599999999999</v>
      </c>
      <c r="I127" s="277">
        <f t="shared" si="1"/>
        <v>1937.64</v>
      </c>
    </row>
    <row r="128" spans="1:9" ht="39" customHeight="1" x14ac:dyDescent="0.2">
      <c r="A128" s="169" t="s">
        <v>380</v>
      </c>
      <c r="B128" s="136" t="s">
        <v>1204</v>
      </c>
      <c r="C128" s="136" t="s">
        <v>1075</v>
      </c>
      <c r="D128" s="136" t="s">
        <v>388</v>
      </c>
      <c r="E128" s="137" t="s">
        <v>19</v>
      </c>
      <c r="F128" s="144">
        <v>0.36</v>
      </c>
      <c r="G128" s="147">
        <v>577.64</v>
      </c>
      <c r="H128" s="147">
        <v>744.11</v>
      </c>
      <c r="I128" s="277">
        <f t="shared" si="1"/>
        <v>267.87</v>
      </c>
    </row>
    <row r="129" spans="1:9" ht="26.1" customHeight="1" x14ac:dyDescent="0.2">
      <c r="A129" s="169" t="s">
        <v>381</v>
      </c>
      <c r="B129" s="136" t="s">
        <v>1205</v>
      </c>
      <c r="C129" s="136" t="s">
        <v>1075</v>
      </c>
      <c r="D129" s="136" t="s">
        <v>389</v>
      </c>
      <c r="E129" s="137" t="s">
        <v>19</v>
      </c>
      <c r="F129" s="144">
        <v>0.36</v>
      </c>
      <c r="G129" s="147">
        <v>260.81</v>
      </c>
      <c r="H129" s="147">
        <v>335.97</v>
      </c>
      <c r="I129" s="277">
        <f t="shared" si="1"/>
        <v>120.94</v>
      </c>
    </row>
    <row r="130" spans="1:9" ht="24" customHeight="1" x14ac:dyDescent="0.2">
      <c r="A130" s="166" t="s">
        <v>254</v>
      </c>
      <c r="B130" s="133" t="s">
        <v>1071</v>
      </c>
      <c r="C130" s="133"/>
      <c r="D130" s="133" t="s">
        <v>126</v>
      </c>
      <c r="E130" s="134"/>
      <c r="F130" s="143">
        <v>1</v>
      </c>
      <c r="G130" s="146" t="s">
        <v>1072</v>
      </c>
      <c r="H130" s="146">
        <v>118599.07</v>
      </c>
      <c r="I130" s="276">
        <f>SUM(I131:I134)</f>
        <v>118599.07</v>
      </c>
    </row>
    <row r="131" spans="1:9" ht="51.95" customHeight="1" x14ac:dyDescent="0.2">
      <c r="A131" s="169" t="s">
        <v>255</v>
      </c>
      <c r="B131" s="136" t="s">
        <v>1206</v>
      </c>
      <c r="C131" s="136" t="s">
        <v>1075</v>
      </c>
      <c r="D131" s="136" t="s">
        <v>128</v>
      </c>
      <c r="E131" s="137" t="s">
        <v>13</v>
      </c>
      <c r="F131" s="144">
        <v>1.8</v>
      </c>
      <c r="G131" s="147">
        <v>180.57</v>
      </c>
      <c r="H131" s="147">
        <v>232.61</v>
      </c>
      <c r="I131" s="277">
        <f t="shared" si="1"/>
        <v>418.69</v>
      </c>
    </row>
    <row r="132" spans="1:9" ht="51.95" customHeight="1" x14ac:dyDescent="0.2">
      <c r="A132" s="169" t="s">
        <v>256</v>
      </c>
      <c r="B132" s="136" t="s">
        <v>1207</v>
      </c>
      <c r="C132" s="136" t="s">
        <v>1075</v>
      </c>
      <c r="D132" s="136" t="s">
        <v>396</v>
      </c>
      <c r="E132" s="137" t="s">
        <v>386</v>
      </c>
      <c r="F132" s="144">
        <v>300.8</v>
      </c>
      <c r="G132" s="147">
        <v>13.94</v>
      </c>
      <c r="H132" s="147">
        <v>17.95</v>
      </c>
      <c r="I132" s="277">
        <f t="shared" si="1"/>
        <v>5399.36</v>
      </c>
    </row>
    <row r="133" spans="1:9" ht="26.1" customHeight="1" x14ac:dyDescent="0.2">
      <c r="A133" s="169" t="s">
        <v>257</v>
      </c>
      <c r="B133" s="136" t="s">
        <v>1208</v>
      </c>
      <c r="C133" s="136" t="s">
        <v>1090</v>
      </c>
      <c r="D133" s="136" t="s">
        <v>397</v>
      </c>
      <c r="E133" s="137" t="s">
        <v>386</v>
      </c>
      <c r="F133" s="144">
        <v>2131.65</v>
      </c>
      <c r="G133" s="147">
        <v>11.35</v>
      </c>
      <c r="H133" s="147">
        <v>14.62</v>
      </c>
      <c r="I133" s="277">
        <f t="shared" si="1"/>
        <v>31164.720000000001</v>
      </c>
    </row>
    <row r="134" spans="1:9" ht="51.95" customHeight="1" x14ac:dyDescent="0.2">
      <c r="A134" s="169" t="s">
        <v>395</v>
      </c>
      <c r="B134" s="136" t="s">
        <v>1209</v>
      </c>
      <c r="C134" s="136" t="s">
        <v>1075</v>
      </c>
      <c r="D134" s="136" t="s">
        <v>398</v>
      </c>
      <c r="E134" s="137" t="s">
        <v>386</v>
      </c>
      <c r="F134" s="144">
        <v>4130.38</v>
      </c>
      <c r="G134" s="147">
        <v>15.34</v>
      </c>
      <c r="H134" s="147">
        <v>19.760000000000002</v>
      </c>
      <c r="I134" s="277">
        <f t="shared" si="1"/>
        <v>81616.3</v>
      </c>
    </row>
    <row r="135" spans="1:9" ht="24" customHeight="1" x14ac:dyDescent="0.2">
      <c r="A135" s="166" t="s">
        <v>258</v>
      </c>
      <c r="B135" s="133" t="s">
        <v>1071</v>
      </c>
      <c r="C135" s="133"/>
      <c r="D135" s="133" t="s">
        <v>40</v>
      </c>
      <c r="E135" s="134"/>
      <c r="F135" s="143">
        <v>1</v>
      </c>
      <c r="G135" s="146" t="s">
        <v>1072</v>
      </c>
      <c r="H135" s="146">
        <v>2440.66</v>
      </c>
      <c r="I135" s="276">
        <f>I136</f>
        <v>2440.66</v>
      </c>
    </row>
    <row r="136" spans="1:9" ht="51.95" customHeight="1" x14ac:dyDescent="0.2">
      <c r="A136" s="169" t="s">
        <v>259</v>
      </c>
      <c r="B136" s="136" t="s">
        <v>1210</v>
      </c>
      <c r="C136" s="136" t="s">
        <v>1075</v>
      </c>
      <c r="D136" s="136" t="s">
        <v>132</v>
      </c>
      <c r="E136" s="137" t="s">
        <v>13</v>
      </c>
      <c r="F136" s="144">
        <v>16.11</v>
      </c>
      <c r="G136" s="147">
        <v>117.61</v>
      </c>
      <c r="H136" s="147">
        <v>151.5</v>
      </c>
      <c r="I136" s="277">
        <f t="shared" ref="I136:I199" si="2">TRUNC(F136*H136,2)</f>
        <v>2440.66</v>
      </c>
    </row>
    <row r="137" spans="1:9" ht="24" customHeight="1" x14ac:dyDescent="0.2">
      <c r="A137" s="166" t="s">
        <v>260</v>
      </c>
      <c r="B137" s="133" t="s">
        <v>1071</v>
      </c>
      <c r="C137" s="133"/>
      <c r="D137" s="133" t="s">
        <v>135</v>
      </c>
      <c r="E137" s="134"/>
      <c r="F137" s="143">
        <v>1</v>
      </c>
      <c r="G137" s="146" t="s">
        <v>1072</v>
      </c>
      <c r="H137" s="146">
        <v>277727.53999999998</v>
      </c>
      <c r="I137" s="276">
        <f>SUM(I138:I145)</f>
        <v>279099.60000000003</v>
      </c>
    </row>
    <row r="138" spans="1:9" ht="51.95" customHeight="1" x14ac:dyDescent="0.2">
      <c r="A138" s="169" t="s">
        <v>261</v>
      </c>
      <c r="B138" s="136" t="s">
        <v>1211</v>
      </c>
      <c r="C138" s="136" t="s">
        <v>1075</v>
      </c>
      <c r="D138" s="136" t="s">
        <v>421</v>
      </c>
      <c r="E138" s="137" t="s">
        <v>386</v>
      </c>
      <c r="F138" s="144">
        <v>404.8</v>
      </c>
      <c r="G138" s="147">
        <v>12.67</v>
      </c>
      <c r="H138" s="147">
        <v>16.32</v>
      </c>
      <c r="I138" s="277">
        <f t="shared" si="2"/>
        <v>6606.33</v>
      </c>
    </row>
    <row r="139" spans="1:9" ht="51.95" customHeight="1" x14ac:dyDescent="0.2">
      <c r="A139" s="169" t="s">
        <v>1212</v>
      </c>
      <c r="B139" s="136" t="s">
        <v>1213</v>
      </c>
      <c r="C139" s="136" t="s">
        <v>1075</v>
      </c>
      <c r="D139" s="136" t="s">
        <v>406</v>
      </c>
      <c r="E139" s="137" t="s">
        <v>386</v>
      </c>
      <c r="F139" s="144">
        <v>1433.32</v>
      </c>
      <c r="G139" s="147">
        <v>10.47</v>
      </c>
      <c r="H139" s="147">
        <v>13.48</v>
      </c>
      <c r="I139" s="277">
        <f t="shared" si="2"/>
        <v>19321.150000000001</v>
      </c>
    </row>
    <row r="140" spans="1:9" ht="39" customHeight="1" x14ac:dyDescent="0.2">
      <c r="A140" s="169" t="s">
        <v>1214</v>
      </c>
      <c r="B140" s="136" t="s">
        <v>1215</v>
      </c>
      <c r="C140" s="136" t="s">
        <v>1090</v>
      </c>
      <c r="D140" s="136" t="s">
        <v>138</v>
      </c>
      <c r="E140" s="137" t="s">
        <v>13</v>
      </c>
      <c r="F140" s="144">
        <v>382.12</v>
      </c>
      <c r="G140" s="147">
        <v>400.76</v>
      </c>
      <c r="H140" s="147">
        <v>516.25</v>
      </c>
      <c r="I140" s="277">
        <f t="shared" si="2"/>
        <v>197269.45</v>
      </c>
    </row>
    <row r="141" spans="1:9" ht="26.1" customHeight="1" x14ac:dyDescent="0.2">
      <c r="A141" s="169" t="s">
        <v>1216</v>
      </c>
      <c r="B141" s="136" t="s">
        <v>1217</v>
      </c>
      <c r="C141" s="136" t="s">
        <v>1075</v>
      </c>
      <c r="D141" s="136" t="s">
        <v>140</v>
      </c>
      <c r="E141" s="137" t="s">
        <v>10</v>
      </c>
      <c r="F141" s="144">
        <v>57.93</v>
      </c>
      <c r="G141" s="147">
        <v>49.32</v>
      </c>
      <c r="H141" s="147">
        <v>63.53</v>
      </c>
      <c r="I141" s="277">
        <f t="shared" si="2"/>
        <v>3680.29</v>
      </c>
    </row>
    <row r="142" spans="1:9" ht="24" customHeight="1" x14ac:dyDescent="0.2">
      <c r="A142" s="169" t="s">
        <v>1218</v>
      </c>
      <c r="B142" s="136" t="s">
        <v>1560</v>
      </c>
      <c r="C142" s="136" t="s">
        <v>1090</v>
      </c>
      <c r="D142" s="136" t="s">
        <v>1561</v>
      </c>
      <c r="E142" s="137" t="s">
        <v>122</v>
      </c>
      <c r="F142" s="144">
        <v>42.65</v>
      </c>
      <c r="G142" s="147">
        <v>162.71</v>
      </c>
      <c r="H142" s="147">
        <v>209.6</v>
      </c>
      <c r="I142" s="277">
        <f t="shared" si="2"/>
        <v>8939.44</v>
      </c>
    </row>
    <row r="143" spans="1:9" ht="24" customHeight="1" x14ac:dyDescent="0.2">
      <c r="A143" s="169" t="s">
        <v>1219</v>
      </c>
      <c r="B143" s="136" t="s">
        <v>1220</v>
      </c>
      <c r="C143" s="136" t="s">
        <v>1090</v>
      </c>
      <c r="D143" s="136" t="s">
        <v>142</v>
      </c>
      <c r="E143" s="137" t="s">
        <v>122</v>
      </c>
      <c r="F143" s="144">
        <v>34.5</v>
      </c>
      <c r="G143" s="147">
        <v>191.38</v>
      </c>
      <c r="H143" s="147">
        <v>246.53</v>
      </c>
      <c r="I143" s="277">
        <f t="shared" si="2"/>
        <v>8505.2800000000007</v>
      </c>
    </row>
    <row r="144" spans="1:9" ht="24" customHeight="1" x14ac:dyDescent="0.2">
      <c r="A144" s="169" t="s">
        <v>1221</v>
      </c>
      <c r="B144" s="136" t="s">
        <v>1222</v>
      </c>
      <c r="C144" s="136" t="s">
        <v>1090</v>
      </c>
      <c r="D144" s="136" t="s">
        <v>143</v>
      </c>
      <c r="E144" s="137" t="s">
        <v>10</v>
      </c>
      <c r="F144" s="144">
        <v>101.36</v>
      </c>
      <c r="G144" s="147">
        <v>94.28</v>
      </c>
      <c r="H144" s="147">
        <v>121.45</v>
      </c>
      <c r="I144" s="277">
        <f t="shared" si="2"/>
        <v>12310.17</v>
      </c>
    </row>
    <row r="145" spans="1:9" ht="26.1" customHeight="1" x14ac:dyDescent="0.2">
      <c r="A145" s="169" t="s">
        <v>1223</v>
      </c>
      <c r="B145" s="136" t="s">
        <v>1224</v>
      </c>
      <c r="C145" s="136" t="s">
        <v>1090</v>
      </c>
      <c r="D145" s="136" t="s">
        <v>144</v>
      </c>
      <c r="E145" s="137" t="s">
        <v>13</v>
      </c>
      <c r="F145" s="144">
        <v>121.63</v>
      </c>
      <c r="G145" s="147">
        <v>143.4</v>
      </c>
      <c r="H145" s="147">
        <v>184.72</v>
      </c>
      <c r="I145" s="277">
        <f t="shared" si="2"/>
        <v>22467.49</v>
      </c>
    </row>
    <row r="146" spans="1:9" ht="24" customHeight="1" x14ac:dyDescent="0.2">
      <c r="A146" s="166" t="s">
        <v>262</v>
      </c>
      <c r="B146" s="133" t="s">
        <v>1071</v>
      </c>
      <c r="C146" s="133"/>
      <c r="D146" s="133" t="s">
        <v>146</v>
      </c>
      <c r="E146" s="134"/>
      <c r="F146" s="143">
        <v>1</v>
      </c>
      <c r="G146" s="146" t="s">
        <v>1072</v>
      </c>
      <c r="H146" s="146">
        <v>92080.47</v>
      </c>
      <c r="I146" s="276">
        <f>I147+I150+I153</f>
        <v>84310.75</v>
      </c>
    </row>
    <row r="147" spans="1:9" ht="24" customHeight="1" x14ac:dyDescent="0.2">
      <c r="A147" s="166" t="s">
        <v>263</v>
      </c>
      <c r="B147" s="133" t="s">
        <v>1071</v>
      </c>
      <c r="C147" s="133"/>
      <c r="D147" s="133" t="s">
        <v>148</v>
      </c>
      <c r="E147" s="134"/>
      <c r="F147" s="143">
        <v>1</v>
      </c>
      <c r="G147" s="146" t="s">
        <v>1072</v>
      </c>
      <c r="H147" s="146">
        <v>39404.07</v>
      </c>
      <c r="I147" s="276">
        <f>SUM(I148:I149)</f>
        <v>39404.07</v>
      </c>
    </row>
    <row r="148" spans="1:9" ht="26.1" customHeight="1" x14ac:dyDescent="0.2">
      <c r="A148" s="169" t="s">
        <v>264</v>
      </c>
      <c r="B148" s="136" t="s">
        <v>1225</v>
      </c>
      <c r="C148" s="136" t="s">
        <v>1090</v>
      </c>
      <c r="D148" s="136" t="s">
        <v>149</v>
      </c>
      <c r="E148" s="137" t="s">
        <v>13</v>
      </c>
      <c r="F148" s="144">
        <v>306.95999999999998</v>
      </c>
      <c r="G148" s="147">
        <v>70.03</v>
      </c>
      <c r="H148" s="147">
        <v>90.21</v>
      </c>
      <c r="I148" s="277">
        <f t="shared" si="2"/>
        <v>27690.86</v>
      </c>
    </row>
    <row r="149" spans="1:9" ht="26.1" customHeight="1" x14ac:dyDescent="0.2">
      <c r="A149" s="169" t="s">
        <v>265</v>
      </c>
      <c r="B149" s="136" t="s">
        <v>1226</v>
      </c>
      <c r="C149" s="136" t="s">
        <v>1090</v>
      </c>
      <c r="D149" s="136" t="s">
        <v>150</v>
      </c>
      <c r="E149" s="137" t="s">
        <v>13</v>
      </c>
      <c r="F149" s="144">
        <v>118.94</v>
      </c>
      <c r="G149" s="147">
        <v>76.45</v>
      </c>
      <c r="H149" s="147">
        <v>98.48</v>
      </c>
      <c r="I149" s="277">
        <f t="shared" si="2"/>
        <v>11713.21</v>
      </c>
    </row>
    <row r="150" spans="1:9" ht="24" customHeight="1" x14ac:dyDescent="0.2">
      <c r="A150" s="166" t="s">
        <v>266</v>
      </c>
      <c r="B150" s="133" t="s">
        <v>1071</v>
      </c>
      <c r="C150" s="133"/>
      <c r="D150" s="133" t="s">
        <v>152</v>
      </c>
      <c r="E150" s="134"/>
      <c r="F150" s="143">
        <v>1</v>
      </c>
      <c r="G150" s="146" t="s">
        <v>1072</v>
      </c>
      <c r="H150" s="146">
        <v>9827.93</v>
      </c>
      <c r="I150" s="276">
        <f>SUM(I151:I152)</f>
        <v>2058.21</v>
      </c>
    </row>
    <row r="151" spans="1:9" ht="51.95" customHeight="1" x14ac:dyDescent="0.2">
      <c r="A151" s="169" t="s">
        <v>267</v>
      </c>
      <c r="B151" s="136" t="s">
        <v>1109</v>
      </c>
      <c r="C151" s="136" t="s">
        <v>1075</v>
      </c>
      <c r="D151" s="136" t="s">
        <v>47</v>
      </c>
      <c r="E151" s="137" t="s">
        <v>13</v>
      </c>
      <c r="F151" s="144">
        <v>32.22</v>
      </c>
      <c r="G151" s="147">
        <v>6.51</v>
      </c>
      <c r="H151" s="147">
        <v>8.3800000000000008</v>
      </c>
      <c r="I151" s="277">
        <f t="shared" si="2"/>
        <v>270</v>
      </c>
    </row>
    <row r="152" spans="1:9" ht="51.95" customHeight="1" x14ac:dyDescent="0.2">
      <c r="A152" s="169" t="s">
        <v>268</v>
      </c>
      <c r="B152" s="136" t="s">
        <v>1110</v>
      </c>
      <c r="C152" s="136" t="s">
        <v>1075</v>
      </c>
      <c r="D152" s="136" t="s">
        <v>49</v>
      </c>
      <c r="E152" s="137" t="s">
        <v>13</v>
      </c>
      <c r="F152" s="144">
        <v>32.22</v>
      </c>
      <c r="G152" s="147">
        <v>43.09</v>
      </c>
      <c r="H152" s="147">
        <v>55.5</v>
      </c>
      <c r="I152" s="277">
        <f t="shared" si="2"/>
        <v>1788.21</v>
      </c>
    </row>
    <row r="153" spans="1:9" ht="24" customHeight="1" x14ac:dyDescent="0.2">
      <c r="A153" s="166" t="s">
        <v>269</v>
      </c>
      <c r="B153" s="133" t="s">
        <v>1071</v>
      </c>
      <c r="C153" s="133"/>
      <c r="D153" s="133" t="s">
        <v>71</v>
      </c>
      <c r="E153" s="134"/>
      <c r="F153" s="143">
        <v>1</v>
      </c>
      <c r="G153" s="146" t="s">
        <v>1072</v>
      </c>
      <c r="H153" s="146">
        <v>42848.47</v>
      </c>
      <c r="I153" s="276">
        <f t="shared" si="2"/>
        <v>42848.47</v>
      </c>
    </row>
    <row r="154" spans="1:9" ht="24" customHeight="1" x14ac:dyDescent="0.2">
      <c r="A154" s="166" t="s">
        <v>270</v>
      </c>
      <c r="B154" s="133" t="s">
        <v>1071</v>
      </c>
      <c r="C154" s="133"/>
      <c r="D154" s="133" t="s">
        <v>154</v>
      </c>
      <c r="E154" s="134"/>
      <c r="F154" s="143">
        <v>1</v>
      </c>
      <c r="G154" s="146" t="s">
        <v>1072</v>
      </c>
      <c r="H154" s="146">
        <v>10226.39</v>
      </c>
      <c r="I154" s="276">
        <f>SUM(I155:I157)</f>
        <v>10226.390000000001</v>
      </c>
    </row>
    <row r="155" spans="1:9" ht="26.1" customHeight="1" x14ac:dyDescent="0.2">
      <c r="A155" s="169" t="s">
        <v>271</v>
      </c>
      <c r="B155" s="136" t="s">
        <v>1123</v>
      </c>
      <c r="C155" s="136" t="s">
        <v>1075</v>
      </c>
      <c r="D155" s="136" t="s">
        <v>73</v>
      </c>
      <c r="E155" s="137" t="s">
        <v>13</v>
      </c>
      <c r="F155" s="144">
        <v>153.85</v>
      </c>
      <c r="G155" s="147">
        <v>3.43</v>
      </c>
      <c r="H155" s="147">
        <v>4.41</v>
      </c>
      <c r="I155" s="277">
        <f t="shared" si="2"/>
        <v>678.47</v>
      </c>
    </row>
    <row r="156" spans="1:9" ht="26.1" customHeight="1" x14ac:dyDescent="0.2">
      <c r="A156" s="169" t="s">
        <v>272</v>
      </c>
      <c r="B156" s="136" t="s">
        <v>1227</v>
      </c>
      <c r="C156" s="136" t="s">
        <v>1075</v>
      </c>
      <c r="D156" s="136" t="s">
        <v>155</v>
      </c>
      <c r="E156" s="137" t="s">
        <v>13</v>
      </c>
      <c r="F156" s="144">
        <v>153.85</v>
      </c>
      <c r="G156" s="147">
        <v>32.619999999999997</v>
      </c>
      <c r="H156" s="147">
        <v>42.02</v>
      </c>
      <c r="I156" s="277">
        <f t="shared" si="2"/>
        <v>6464.77</v>
      </c>
    </row>
    <row r="157" spans="1:9" ht="26.1" customHeight="1" x14ac:dyDescent="0.2">
      <c r="A157" s="169" t="s">
        <v>273</v>
      </c>
      <c r="B157" s="136" t="s">
        <v>1228</v>
      </c>
      <c r="C157" s="136" t="s">
        <v>1075</v>
      </c>
      <c r="D157" s="136" t="s">
        <v>156</v>
      </c>
      <c r="E157" s="137" t="s">
        <v>13</v>
      </c>
      <c r="F157" s="144">
        <v>153.85</v>
      </c>
      <c r="G157" s="147">
        <v>15.56</v>
      </c>
      <c r="H157" s="147">
        <v>20.04</v>
      </c>
      <c r="I157" s="277">
        <f t="shared" si="2"/>
        <v>3083.15</v>
      </c>
    </row>
    <row r="158" spans="1:9" ht="24" customHeight="1" x14ac:dyDescent="0.2">
      <c r="A158" s="166" t="s">
        <v>274</v>
      </c>
      <c r="B158" s="133" t="s">
        <v>1071</v>
      </c>
      <c r="C158" s="133"/>
      <c r="D158" s="133" t="s">
        <v>157</v>
      </c>
      <c r="E158" s="134"/>
      <c r="F158" s="143">
        <v>1</v>
      </c>
      <c r="G158" s="146" t="s">
        <v>1072</v>
      </c>
      <c r="H158" s="146">
        <v>32622.080000000002</v>
      </c>
      <c r="I158" s="276">
        <f>SUM(I159:I160)</f>
        <v>32622.079999999998</v>
      </c>
    </row>
    <row r="159" spans="1:9" ht="51.95" customHeight="1" x14ac:dyDescent="0.2">
      <c r="A159" s="169" t="s">
        <v>275</v>
      </c>
      <c r="B159" s="136" t="s">
        <v>1229</v>
      </c>
      <c r="C159" s="136" t="s">
        <v>1090</v>
      </c>
      <c r="D159" s="136" t="s">
        <v>158</v>
      </c>
      <c r="E159" s="137" t="s">
        <v>13</v>
      </c>
      <c r="F159" s="144">
        <v>747.87</v>
      </c>
      <c r="G159" s="147">
        <v>23.81</v>
      </c>
      <c r="H159" s="147">
        <v>30.67</v>
      </c>
      <c r="I159" s="277">
        <f t="shared" si="2"/>
        <v>22937.17</v>
      </c>
    </row>
    <row r="160" spans="1:9" ht="26.1" customHeight="1" x14ac:dyDescent="0.2">
      <c r="A160" s="169" t="s">
        <v>276</v>
      </c>
      <c r="B160" s="136" t="s">
        <v>1230</v>
      </c>
      <c r="C160" s="136" t="s">
        <v>1075</v>
      </c>
      <c r="D160" s="136" t="s">
        <v>159</v>
      </c>
      <c r="E160" s="137" t="s">
        <v>13</v>
      </c>
      <c r="F160" s="144">
        <v>747.87</v>
      </c>
      <c r="G160" s="147">
        <v>10.06</v>
      </c>
      <c r="H160" s="147">
        <v>12.95</v>
      </c>
      <c r="I160" s="277">
        <f t="shared" si="2"/>
        <v>9684.91</v>
      </c>
    </row>
    <row r="161" spans="1:9" ht="24" customHeight="1" x14ac:dyDescent="0.2">
      <c r="A161" s="166" t="s">
        <v>1231</v>
      </c>
      <c r="B161" s="133" t="s">
        <v>1071</v>
      </c>
      <c r="C161" s="133"/>
      <c r="D161" s="133" t="s">
        <v>95</v>
      </c>
      <c r="E161" s="134"/>
      <c r="F161" s="143">
        <v>1</v>
      </c>
      <c r="G161" s="146" t="s">
        <v>1072</v>
      </c>
      <c r="H161" s="146">
        <v>16883.07</v>
      </c>
      <c r="I161" s="276">
        <f>SUM(I162:I164)</f>
        <v>16883.07</v>
      </c>
    </row>
    <row r="162" spans="1:9" ht="39" customHeight="1" x14ac:dyDescent="0.2">
      <c r="A162" s="169" t="s">
        <v>1232</v>
      </c>
      <c r="B162" s="136" t="s">
        <v>1233</v>
      </c>
      <c r="C162" s="136" t="s">
        <v>1090</v>
      </c>
      <c r="D162" s="136" t="s">
        <v>160</v>
      </c>
      <c r="E162" s="137" t="s">
        <v>13</v>
      </c>
      <c r="F162" s="144">
        <v>9.5299999999999994</v>
      </c>
      <c r="G162" s="147">
        <v>188.33</v>
      </c>
      <c r="H162" s="147">
        <v>242.6</v>
      </c>
      <c r="I162" s="277">
        <f t="shared" si="2"/>
        <v>2311.9699999999998</v>
      </c>
    </row>
    <row r="163" spans="1:9" ht="24" customHeight="1" x14ac:dyDescent="0.2">
      <c r="A163" s="169" t="s">
        <v>1234</v>
      </c>
      <c r="B163" s="136" t="s">
        <v>1235</v>
      </c>
      <c r="C163" s="136" t="s">
        <v>1090</v>
      </c>
      <c r="D163" s="136" t="s">
        <v>161</v>
      </c>
      <c r="E163" s="137" t="s">
        <v>122</v>
      </c>
      <c r="F163" s="144">
        <v>119.96</v>
      </c>
      <c r="G163" s="147">
        <v>92.3</v>
      </c>
      <c r="H163" s="147">
        <v>118.9</v>
      </c>
      <c r="I163" s="277">
        <f t="shared" si="2"/>
        <v>14263.24</v>
      </c>
    </row>
    <row r="164" spans="1:9" ht="26.1" customHeight="1" x14ac:dyDescent="0.2">
      <c r="A164" s="169" t="s">
        <v>1236</v>
      </c>
      <c r="B164" s="136" t="s">
        <v>1134</v>
      </c>
      <c r="C164" s="136" t="s">
        <v>1075</v>
      </c>
      <c r="D164" s="136" t="s">
        <v>96</v>
      </c>
      <c r="E164" s="137" t="s">
        <v>10</v>
      </c>
      <c r="F164" s="144">
        <v>2</v>
      </c>
      <c r="G164" s="147">
        <v>119.5</v>
      </c>
      <c r="H164" s="147">
        <v>153.93</v>
      </c>
      <c r="I164" s="277">
        <f t="shared" si="2"/>
        <v>307.86</v>
      </c>
    </row>
    <row r="165" spans="1:9" ht="24" customHeight="1" x14ac:dyDescent="0.2">
      <c r="A165" s="166" t="s">
        <v>1237</v>
      </c>
      <c r="B165" s="133" t="s">
        <v>1071</v>
      </c>
      <c r="C165" s="133"/>
      <c r="D165" s="133" t="s">
        <v>459</v>
      </c>
      <c r="E165" s="134"/>
      <c r="F165" s="143">
        <v>1</v>
      </c>
      <c r="G165" s="146" t="s">
        <v>1072</v>
      </c>
      <c r="H165" s="146">
        <v>11928.95</v>
      </c>
      <c r="I165" s="276">
        <f>SUM(I166:I175)</f>
        <v>11928.949999999999</v>
      </c>
    </row>
    <row r="166" spans="1:9" ht="39" customHeight="1" x14ac:dyDescent="0.2">
      <c r="A166" s="169" t="s">
        <v>1238</v>
      </c>
      <c r="B166" s="136" t="s">
        <v>1190</v>
      </c>
      <c r="C166" s="136" t="s">
        <v>1075</v>
      </c>
      <c r="D166" s="136" t="s">
        <v>112</v>
      </c>
      <c r="E166" s="137" t="s">
        <v>19</v>
      </c>
      <c r="F166" s="144">
        <v>0.43</v>
      </c>
      <c r="G166" s="147">
        <v>104.5</v>
      </c>
      <c r="H166" s="147">
        <v>134.61000000000001</v>
      </c>
      <c r="I166" s="277">
        <f t="shared" si="2"/>
        <v>57.88</v>
      </c>
    </row>
    <row r="167" spans="1:9" ht="26.1" customHeight="1" x14ac:dyDescent="0.2">
      <c r="A167" s="169" t="s">
        <v>1239</v>
      </c>
      <c r="B167" s="136" t="s">
        <v>1240</v>
      </c>
      <c r="C167" s="136" t="s">
        <v>1075</v>
      </c>
      <c r="D167" s="136" t="s">
        <v>450</v>
      </c>
      <c r="E167" s="137" t="s">
        <v>19</v>
      </c>
      <c r="F167" s="144">
        <v>1.28</v>
      </c>
      <c r="G167" s="147">
        <v>73.81</v>
      </c>
      <c r="H167" s="147">
        <v>95.08</v>
      </c>
      <c r="I167" s="277">
        <f t="shared" si="2"/>
        <v>121.7</v>
      </c>
    </row>
    <row r="168" spans="1:9" ht="24" customHeight="1" x14ac:dyDescent="0.2">
      <c r="A168" s="169" t="s">
        <v>1241</v>
      </c>
      <c r="B168" s="136" t="s">
        <v>1242</v>
      </c>
      <c r="C168" s="136" t="s">
        <v>1090</v>
      </c>
      <c r="D168" s="136" t="s">
        <v>451</v>
      </c>
      <c r="E168" s="137" t="s">
        <v>19</v>
      </c>
      <c r="F168" s="144">
        <v>1.28</v>
      </c>
      <c r="G168" s="147">
        <v>55.98</v>
      </c>
      <c r="H168" s="147">
        <v>72.11</v>
      </c>
      <c r="I168" s="277">
        <f t="shared" si="2"/>
        <v>92.3</v>
      </c>
    </row>
    <row r="169" spans="1:9" ht="39" customHeight="1" x14ac:dyDescent="0.2">
      <c r="A169" s="169" t="s">
        <v>1243</v>
      </c>
      <c r="B169" s="136" t="s">
        <v>1244</v>
      </c>
      <c r="C169" s="136" t="s">
        <v>1075</v>
      </c>
      <c r="D169" s="136" t="s">
        <v>452</v>
      </c>
      <c r="E169" s="137" t="s">
        <v>10</v>
      </c>
      <c r="F169" s="144">
        <v>38.72</v>
      </c>
      <c r="G169" s="147">
        <v>45.1</v>
      </c>
      <c r="H169" s="147">
        <v>58.09</v>
      </c>
      <c r="I169" s="277">
        <f t="shared" si="2"/>
        <v>2249.2399999999998</v>
      </c>
    </row>
    <row r="170" spans="1:9" ht="39" customHeight="1" x14ac:dyDescent="0.2">
      <c r="A170" s="169" t="s">
        <v>1245</v>
      </c>
      <c r="B170" s="136" t="s">
        <v>1246</v>
      </c>
      <c r="C170" s="136" t="s">
        <v>1075</v>
      </c>
      <c r="D170" s="136" t="s">
        <v>453</v>
      </c>
      <c r="E170" s="137" t="s">
        <v>33</v>
      </c>
      <c r="F170" s="144">
        <v>2</v>
      </c>
      <c r="G170" s="147">
        <v>34.43</v>
      </c>
      <c r="H170" s="147">
        <v>44.35</v>
      </c>
      <c r="I170" s="277">
        <f t="shared" si="2"/>
        <v>88.7</v>
      </c>
    </row>
    <row r="171" spans="1:9" ht="39" customHeight="1" x14ac:dyDescent="0.2">
      <c r="A171" s="169" t="s">
        <v>1247</v>
      </c>
      <c r="B171" s="136" t="s">
        <v>1248</v>
      </c>
      <c r="C171" s="136" t="s">
        <v>1075</v>
      </c>
      <c r="D171" s="136" t="s">
        <v>454</v>
      </c>
      <c r="E171" s="137" t="s">
        <v>33</v>
      </c>
      <c r="F171" s="144">
        <v>22</v>
      </c>
      <c r="G171" s="147">
        <v>33.51</v>
      </c>
      <c r="H171" s="147">
        <v>43.16</v>
      </c>
      <c r="I171" s="277">
        <f t="shared" si="2"/>
        <v>949.52</v>
      </c>
    </row>
    <row r="172" spans="1:9" ht="39" customHeight="1" x14ac:dyDescent="0.2">
      <c r="A172" s="169" t="s">
        <v>1249</v>
      </c>
      <c r="B172" s="136" t="s">
        <v>1250</v>
      </c>
      <c r="C172" s="136" t="s">
        <v>1075</v>
      </c>
      <c r="D172" s="136" t="s">
        <v>455</v>
      </c>
      <c r="E172" s="137" t="s">
        <v>33</v>
      </c>
      <c r="F172" s="144">
        <v>2</v>
      </c>
      <c r="G172" s="147">
        <v>52.36</v>
      </c>
      <c r="H172" s="147">
        <v>67.45</v>
      </c>
      <c r="I172" s="277">
        <f t="shared" si="2"/>
        <v>134.9</v>
      </c>
    </row>
    <row r="173" spans="1:9" ht="39" customHeight="1" x14ac:dyDescent="0.2">
      <c r="A173" s="169" t="s">
        <v>1251</v>
      </c>
      <c r="B173" s="136" t="s">
        <v>1252</v>
      </c>
      <c r="C173" s="136" t="s">
        <v>1075</v>
      </c>
      <c r="D173" s="136" t="s">
        <v>456</v>
      </c>
      <c r="E173" s="137" t="s">
        <v>33</v>
      </c>
      <c r="F173" s="144">
        <v>18</v>
      </c>
      <c r="G173" s="147">
        <v>36.03</v>
      </c>
      <c r="H173" s="147">
        <v>46.41</v>
      </c>
      <c r="I173" s="277">
        <f t="shared" si="2"/>
        <v>835.38</v>
      </c>
    </row>
    <row r="174" spans="1:9" ht="39" customHeight="1" x14ac:dyDescent="0.2">
      <c r="A174" s="169" t="s">
        <v>1253</v>
      </c>
      <c r="B174" s="136" t="s">
        <v>1254</v>
      </c>
      <c r="C174" s="136" t="s">
        <v>1075</v>
      </c>
      <c r="D174" s="136" t="s">
        <v>457</v>
      </c>
      <c r="E174" s="137" t="s">
        <v>10</v>
      </c>
      <c r="F174" s="144">
        <v>45.65</v>
      </c>
      <c r="G174" s="147">
        <v>66.95</v>
      </c>
      <c r="H174" s="147">
        <v>86.24</v>
      </c>
      <c r="I174" s="277">
        <f t="shared" si="2"/>
        <v>3936.85</v>
      </c>
    </row>
    <row r="175" spans="1:9" ht="24" customHeight="1" x14ac:dyDescent="0.2">
      <c r="A175" s="169" t="s">
        <v>1255</v>
      </c>
      <c r="B175" s="136" t="s">
        <v>1188</v>
      </c>
      <c r="C175" s="136" t="s">
        <v>1090</v>
      </c>
      <c r="D175" s="136" t="s">
        <v>458</v>
      </c>
      <c r="E175" s="137" t="s">
        <v>33</v>
      </c>
      <c r="F175" s="144">
        <v>7</v>
      </c>
      <c r="G175" s="147">
        <v>383.98</v>
      </c>
      <c r="H175" s="147">
        <v>494.64</v>
      </c>
      <c r="I175" s="277">
        <f t="shared" si="2"/>
        <v>3462.48</v>
      </c>
    </row>
    <row r="176" spans="1:9" ht="24" customHeight="1" x14ac:dyDescent="0.2">
      <c r="A176" s="166" t="s">
        <v>1256</v>
      </c>
      <c r="B176" s="133" t="s">
        <v>1071</v>
      </c>
      <c r="C176" s="133"/>
      <c r="D176" s="133" t="s">
        <v>465</v>
      </c>
      <c r="E176" s="134"/>
      <c r="F176" s="143">
        <v>1</v>
      </c>
      <c r="G176" s="146" t="s">
        <v>1072</v>
      </c>
      <c r="H176" s="146">
        <v>90051.58</v>
      </c>
      <c r="I176" s="276">
        <f>SUM(I177:I202)</f>
        <v>90051.579999999987</v>
      </c>
    </row>
    <row r="177" spans="1:9" ht="39" customHeight="1" x14ac:dyDescent="0.2">
      <c r="A177" s="169" t="s">
        <v>1257</v>
      </c>
      <c r="B177" s="136" t="s">
        <v>1172</v>
      </c>
      <c r="C177" s="136" t="s">
        <v>1090</v>
      </c>
      <c r="D177" s="136" t="s">
        <v>936</v>
      </c>
      <c r="E177" s="137" t="s">
        <v>16</v>
      </c>
      <c r="F177" s="144">
        <v>15</v>
      </c>
      <c r="G177" s="147">
        <v>195.16</v>
      </c>
      <c r="H177" s="147">
        <v>251.4</v>
      </c>
      <c r="I177" s="277">
        <f t="shared" si="2"/>
        <v>3771</v>
      </c>
    </row>
    <row r="178" spans="1:9" ht="39" customHeight="1" x14ac:dyDescent="0.2">
      <c r="A178" s="169" t="s">
        <v>1258</v>
      </c>
      <c r="B178" s="136" t="s">
        <v>1156</v>
      </c>
      <c r="C178" s="136" t="s">
        <v>1075</v>
      </c>
      <c r="D178" s="136" t="s">
        <v>667</v>
      </c>
      <c r="E178" s="137" t="s">
        <v>33</v>
      </c>
      <c r="F178" s="144">
        <v>3</v>
      </c>
      <c r="G178" s="147">
        <v>30.81</v>
      </c>
      <c r="H178" s="147">
        <v>39.68</v>
      </c>
      <c r="I178" s="277">
        <f t="shared" si="2"/>
        <v>119.04</v>
      </c>
    </row>
    <row r="179" spans="1:9" ht="39" customHeight="1" x14ac:dyDescent="0.2">
      <c r="A179" s="169" t="s">
        <v>1259</v>
      </c>
      <c r="B179" s="136" t="s">
        <v>1157</v>
      </c>
      <c r="C179" s="136" t="s">
        <v>1075</v>
      </c>
      <c r="D179" s="136" t="s">
        <v>935</v>
      </c>
      <c r="E179" s="137" t="s">
        <v>33</v>
      </c>
      <c r="F179" s="144">
        <v>17</v>
      </c>
      <c r="G179" s="147">
        <v>18</v>
      </c>
      <c r="H179" s="147">
        <v>23.18</v>
      </c>
      <c r="I179" s="277">
        <f t="shared" si="2"/>
        <v>394.06</v>
      </c>
    </row>
    <row r="180" spans="1:9" ht="39" customHeight="1" x14ac:dyDescent="0.2">
      <c r="A180" s="169" t="s">
        <v>1260</v>
      </c>
      <c r="B180" s="136" t="s">
        <v>1158</v>
      </c>
      <c r="C180" s="136" t="s">
        <v>1075</v>
      </c>
      <c r="D180" s="136" t="s">
        <v>934</v>
      </c>
      <c r="E180" s="137" t="s">
        <v>33</v>
      </c>
      <c r="F180" s="144">
        <v>4</v>
      </c>
      <c r="G180" s="147">
        <v>11.72</v>
      </c>
      <c r="H180" s="147">
        <v>15.09</v>
      </c>
      <c r="I180" s="277">
        <f t="shared" si="2"/>
        <v>60.36</v>
      </c>
    </row>
    <row r="181" spans="1:9" ht="26.1" customHeight="1" x14ac:dyDescent="0.2">
      <c r="A181" s="169" t="s">
        <v>1261</v>
      </c>
      <c r="B181" s="136" t="s">
        <v>1159</v>
      </c>
      <c r="C181" s="136" t="s">
        <v>1075</v>
      </c>
      <c r="D181" s="136" t="s">
        <v>671</v>
      </c>
      <c r="E181" s="137" t="s">
        <v>33</v>
      </c>
      <c r="F181" s="144">
        <v>24</v>
      </c>
      <c r="G181" s="147">
        <v>16.27</v>
      </c>
      <c r="H181" s="147">
        <v>20.95</v>
      </c>
      <c r="I181" s="277">
        <f t="shared" si="2"/>
        <v>502.8</v>
      </c>
    </row>
    <row r="182" spans="1:9" ht="39" customHeight="1" x14ac:dyDescent="0.2">
      <c r="A182" s="169" t="s">
        <v>1262</v>
      </c>
      <c r="B182" s="136" t="s">
        <v>1160</v>
      </c>
      <c r="C182" s="136" t="s">
        <v>1075</v>
      </c>
      <c r="D182" s="136" t="s">
        <v>933</v>
      </c>
      <c r="E182" s="137" t="s">
        <v>33</v>
      </c>
      <c r="F182" s="144">
        <v>22</v>
      </c>
      <c r="G182" s="147">
        <v>11.22</v>
      </c>
      <c r="H182" s="147">
        <v>14.45</v>
      </c>
      <c r="I182" s="277">
        <f t="shared" si="2"/>
        <v>317.89999999999998</v>
      </c>
    </row>
    <row r="183" spans="1:9" ht="39" customHeight="1" x14ac:dyDescent="0.2">
      <c r="A183" s="169" t="s">
        <v>1263</v>
      </c>
      <c r="B183" s="136" t="s">
        <v>1161</v>
      </c>
      <c r="C183" s="136" t="s">
        <v>1075</v>
      </c>
      <c r="D183" s="136" t="s">
        <v>675</v>
      </c>
      <c r="E183" s="137" t="s">
        <v>10</v>
      </c>
      <c r="F183" s="144">
        <v>1137</v>
      </c>
      <c r="G183" s="147">
        <v>4.33</v>
      </c>
      <c r="H183" s="147">
        <v>5.57</v>
      </c>
      <c r="I183" s="277">
        <f t="shared" si="2"/>
        <v>6333.09</v>
      </c>
    </row>
    <row r="184" spans="1:9" ht="39" customHeight="1" x14ac:dyDescent="0.2">
      <c r="A184" s="169" t="s">
        <v>1264</v>
      </c>
      <c r="B184" s="136" t="s">
        <v>1162</v>
      </c>
      <c r="C184" s="136" t="s">
        <v>1075</v>
      </c>
      <c r="D184" s="136" t="s">
        <v>932</v>
      </c>
      <c r="E184" s="137" t="s">
        <v>10</v>
      </c>
      <c r="F184" s="144">
        <v>102</v>
      </c>
      <c r="G184" s="147">
        <v>6.73</v>
      </c>
      <c r="H184" s="147">
        <v>8.66</v>
      </c>
      <c r="I184" s="277">
        <f t="shared" si="2"/>
        <v>883.32</v>
      </c>
    </row>
    <row r="185" spans="1:9" ht="39" customHeight="1" x14ac:dyDescent="0.2">
      <c r="A185" s="169" t="s">
        <v>1265</v>
      </c>
      <c r="B185" s="136" t="s">
        <v>1266</v>
      </c>
      <c r="C185" s="136" t="s">
        <v>1075</v>
      </c>
      <c r="D185" s="136" t="s">
        <v>931</v>
      </c>
      <c r="E185" s="137" t="s">
        <v>10</v>
      </c>
      <c r="F185" s="144">
        <v>306</v>
      </c>
      <c r="G185" s="147">
        <v>25.62</v>
      </c>
      <c r="H185" s="147">
        <v>33</v>
      </c>
      <c r="I185" s="277">
        <f t="shared" si="2"/>
        <v>10098</v>
      </c>
    </row>
    <row r="186" spans="1:9" ht="39" customHeight="1" x14ac:dyDescent="0.2">
      <c r="A186" s="169" t="s">
        <v>1267</v>
      </c>
      <c r="B186" s="136" t="s">
        <v>1268</v>
      </c>
      <c r="C186" s="136" t="s">
        <v>1075</v>
      </c>
      <c r="D186" s="136" t="s">
        <v>930</v>
      </c>
      <c r="E186" s="137" t="s">
        <v>33</v>
      </c>
      <c r="F186" s="144">
        <v>1</v>
      </c>
      <c r="G186" s="147">
        <v>13739.33</v>
      </c>
      <c r="H186" s="147">
        <v>17699</v>
      </c>
      <c r="I186" s="277">
        <f t="shared" si="2"/>
        <v>17699</v>
      </c>
    </row>
    <row r="187" spans="1:9" ht="39" customHeight="1" x14ac:dyDescent="0.2">
      <c r="A187" s="169" t="s">
        <v>1269</v>
      </c>
      <c r="B187" s="136" t="s">
        <v>1270</v>
      </c>
      <c r="C187" s="136" t="s">
        <v>1075</v>
      </c>
      <c r="D187" s="136" t="s">
        <v>929</v>
      </c>
      <c r="E187" s="137" t="s">
        <v>33</v>
      </c>
      <c r="F187" s="144">
        <v>2</v>
      </c>
      <c r="G187" s="147">
        <v>14864.84</v>
      </c>
      <c r="H187" s="147">
        <v>19148.88</v>
      </c>
      <c r="I187" s="277">
        <f t="shared" si="2"/>
        <v>38297.760000000002</v>
      </c>
    </row>
    <row r="188" spans="1:9" ht="39" customHeight="1" x14ac:dyDescent="0.2">
      <c r="A188" s="169" t="s">
        <v>1271</v>
      </c>
      <c r="B188" s="136" t="s">
        <v>1164</v>
      </c>
      <c r="C188" s="136" t="s">
        <v>1075</v>
      </c>
      <c r="D188" s="136" t="s">
        <v>683</v>
      </c>
      <c r="E188" s="137" t="s">
        <v>33</v>
      </c>
      <c r="F188" s="144">
        <v>1</v>
      </c>
      <c r="G188" s="147">
        <v>27.29</v>
      </c>
      <c r="H188" s="147">
        <v>35.15</v>
      </c>
      <c r="I188" s="277">
        <f t="shared" si="2"/>
        <v>35.15</v>
      </c>
    </row>
    <row r="189" spans="1:9" ht="39" customHeight="1" x14ac:dyDescent="0.2">
      <c r="A189" s="169" t="s">
        <v>1272</v>
      </c>
      <c r="B189" s="136" t="s">
        <v>1273</v>
      </c>
      <c r="C189" s="136" t="s">
        <v>1075</v>
      </c>
      <c r="D189" s="136" t="s">
        <v>928</v>
      </c>
      <c r="E189" s="137" t="s">
        <v>33</v>
      </c>
      <c r="F189" s="144">
        <v>2</v>
      </c>
      <c r="G189" s="147">
        <v>41.47</v>
      </c>
      <c r="H189" s="147">
        <v>53.42</v>
      </c>
      <c r="I189" s="277">
        <f t="shared" si="2"/>
        <v>106.84</v>
      </c>
    </row>
    <row r="190" spans="1:9" ht="39" customHeight="1" x14ac:dyDescent="0.2">
      <c r="A190" s="169" t="s">
        <v>1274</v>
      </c>
      <c r="B190" s="136" t="s">
        <v>1275</v>
      </c>
      <c r="C190" s="136" t="s">
        <v>1075</v>
      </c>
      <c r="D190" s="136" t="s">
        <v>927</v>
      </c>
      <c r="E190" s="137" t="s">
        <v>33</v>
      </c>
      <c r="F190" s="144">
        <v>1</v>
      </c>
      <c r="G190" s="147">
        <v>55.65</v>
      </c>
      <c r="H190" s="147">
        <v>71.680000000000007</v>
      </c>
      <c r="I190" s="277">
        <f t="shared" si="2"/>
        <v>71.680000000000007</v>
      </c>
    </row>
    <row r="191" spans="1:9" ht="39" customHeight="1" x14ac:dyDescent="0.2">
      <c r="A191" s="169" t="s">
        <v>1276</v>
      </c>
      <c r="B191" s="136" t="s">
        <v>1165</v>
      </c>
      <c r="C191" s="136" t="s">
        <v>1075</v>
      </c>
      <c r="D191" s="136" t="s">
        <v>926</v>
      </c>
      <c r="E191" s="137" t="s">
        <v>33</v>
      </c>
      <c r="F191" s="144">
        <v>16</v>
      </c>
      <c r="G191" s="147">
        <v>28.57</v>
      </c>
      <c r="H191" s="147">
        <v>36.799999999999997</v>
      </c>
      <c r="I191" s="277">
        <f t="shared" si="2"/>
        <v>588.79999999999995</v>
      </c>
    </row>
    <row r="192" spans="1:9" ht="39" customHeight="1" x14ac:dyDescent="0.2">
      <c r="A192" s="169" t="s">
        <v>1277</v>
      </c>
      <c r="B192" s="136" t="s">
        <v>1166</v>
      </c>
      <c r="C192" s="136" t="s">
        <v>1075</v>
      </c>
      <c r="D192" s="136" t="s">
        <v>925</v>
      </c>
      <c r="E192" s="137" t="s">
        <v>33</v>
      </c>
      <c r="F192" s="144">
        <v>1</v>
      </c>
      <c r="G192" s="147">
        <v>44</v>
      </c>
      <c r="H192" s="147">
        <v>56.68</v>
      </c>
      <c r="I192" s="277">
        <f t="shared" si="2"/>
        <v>56.68</v>
      </c>
    </row>
    <row r="193" spans="1:9" ht="26.1" customHeight="1" x14ac:dyDescent="0.2">
      <c r="A193" s="169" t="s">
        <v>1278</v>
      </c>
      <c r="B193" s="136" t="s">
        <v>1168</v>
      </c>
      <c r="C193" s="136" t="s">
        <v>1075</v>
      </c>
      <c r="D193" s="136" t="s">
        <v>687</v>
      </c>
      <c r="E193" s="137" t="s">
        <v>33</v>
      </c>
      <c r="F193" s="144">
        <v>2</v>
      </c>
      <c r="G193" s="147">
        <v>14.25</v>
      </c>
      <c r="H193" s="147">
        <v>18.350000000000001</v>
      </c>
      <c r="I193" s="277">
        <f t="shared" si="2"/>
        <v>36.700000000000003</v>
      </c>
    </row>
    <row r="194" spans="1:9" ht="39" customHeight="1" x14ac:dyDescent="0.2">
      <c r="A194" s="169" t="s">
        <v>1279</v>
      </c>
      <c r="B194" s="136" t="s">
        <v>1280</v>
      </c>
      <c r="C194" s="136" t="s">
        <v>1075</v>
      </c>
      <c r="D194" s="136" t="s">
        <v>924</v>
      </c>
      <c r="E194" s="137" t="s">
        <v>33</v>
      </c>
      <c r="F194" s="144">
        <v>3</v>
      </c>
      <c r="G194" s="147">
        <v>29.2</v>
      </c>
      <c r="H194" s="147">
        <v>37.61</v>
      </c>
      <c r="I194" s="277">
        <f t="shared" si="2"/>
        <v>112.83</v>
      </c>
    </row>
    <row r="195" spans="1:9" ht="39" customHeight="1" x14ac:dyDescent="0.2">
      <c r="A195" s="169" t="s">
        <v>1281</v>
      </c>
      <c r="B195" s="136" t="s">
        <v>1282</v>
      </c>
      <c r="C195" s="136" t="s">
        <v>1075</v>
      </c>
      <c r="D195" s="136" t="s">
        <v>923</v>
      </c>
      <c r="E195" s="137" t="s">
        <v>10</v>
      </c>
      <c r="F195" s="144">
        <v>48</v>
      </c>
      <c r="G195" s="147">
        <v>17.829999999999998</v>
      </c>
      <c r="H195" s="147">
        <v>22.96</v>
      </c>
      <c r="I195" s="277">
        <f t="shared" si="2"/>
        <v>1102.08</v>
      </c>
    </row>
    <row r="196" spans="1:9" ht="24" customHeight="1" x14ac:dyDescent="0.2">
      <c r="A196" s="169" t="s">
        <v>1283</v>
      </c>
      <c r="B196" s="136" t="s">
        <v>1179</v>
      </c>
      <c r="C196" s="136" t="s">
        <v>1090</v>
      </c>
      <c r="D196" s="136" t="s">
        <v>922</v>
      </c>
      <c r="E196" s="137" t="s">
        <v>10</v>
      </c>
      <c r="F196" s="144">
        <v>135</v>
      </c>
      <c r="G196" s="147">
        <v>20</v>
      </c>
      <c r="H196" s="147">
        <v>25.76</v>
      </c>
      <c r="I196" s="277">
        <f t="shared" si="2"/>
        <v>3477.6</v>
      </c>
    </row>
    <row r="197" spans="1:9" ht="26.1" customHeight="1" x14ac:dyDescent="0.2">
      <c r="A197" s="169" t="s">
        <v>1284</v>
      </c>
      <c r="B197" s="136" t="s">
        <v>1285</v>
      </c>
      <c r="C197" s="136" t="s">
        <v>1090</v>
      </c>
      <c r="D197" s="136" t="s">
        <v>663</v>
      </c>
      <c r="E197" s="137" t="s">
        <v>33</v>
      </c>
      <c r="F197" s="144">
        <v>22</v>
      </c>
      <c r="G197" s="147">
        <v>2.67</v>
      </c>
      <c r="H197" s="147">
        <v>3.43</v>
      </c>
      <c r="I197" s="277">
        <f t="shared" si="2"/>
        <v>75.459999999999994</v>
      </c>
    </row>
    <row r="198" spans="1:9" ht="24" customHeight="1" x14ac:dyDescent="0.2">
      <c r="A198" s="169" t="s">
        <v>1286</v>
      </c>
      <c r="B198" s="136" t="s">
        <v>1287</v>
      </c>
      <c r="C198" s="136" t="s">
        <v>1090</v>
      </c>
      <c r="D198" s="136" t="s">
        <v>921</v>
      </c>
      <c r="E198" s="137" t="s">
        <v>10</v>
      </c>
      <c r="F198" s="144">
        <v>24</v>
      </c>
      <c r="G198" s="147">
        <v>14.3</v>
      </c>
      <c r="H198" s="147">
        <v>18.420000000000002</v>
      </c>
      <c r="I198" s="277">
        <f t="shared" si="2"/>
        <v>442.08</v>
      </c>
    </row>
    <row r="199" spans="1:9" ht="24" customHeight="1" x14ac:dyDescent="0.2">
      <c r="A199" s="169" t="s">
        <v>1288</v>
      </c>
      <c r="B199" s="136" t="s">
        <v>1289</v>
      </c>
      <c r="C199" s="136" t="s">
        <v>1090</v>
      </c>
      <c r="D199" s="136" t="s">
        <v>920</v>
      </c>
      <c r="E199" s="137" t="s">
        <v>16</v>
      </c>
      <c r="F199" s="144">
        <v>15</v>
      </c>
      <c r="G199" s="147">
        <v>44.22</v>
      </c>
      <c r="H199" s="147">
        <v>56.96</v>
      </c>
      <c r="I199" s="277">
        <f t="shared" si="2"/>
        <v>854.4</v>
      </c>
    </row>
    <row r="200" spans="1:9" ht="65.099999999999994" customHeight="1" x14ac:dyDescent="0.2">
      <c r="A200" s="169" t="s">
        <v>1290</v>
      </c>
      <c r="B200" s="136" t="s">
        <v>1291</v>
      </c>
      <c r="C200" s="136" t="s">
        <v>1090</v>
      </c>
      <c r="D200" s="136" t="s">
        <v>701</v>
      </c>
      <c r="E200" s="137" t="s">
        <v>10</v>
      </c>
      <c r="F200" s="144">
        <v>6</v>
      </c>
      <c r="G200" s="147">
        <v>44.31</v>
      </c>
      <c r="H200" s="147">
        <v>57.08</v>
      </c>
      <c r="I200" s="277">
        <f t="shared" ref="I200:I263" si="3">TRUNC(F200*H200,2)</f>
        <v>342.48</v>
      </c>
    </row>
    <row r="201" spans="1:9" ht="39" customHeight="1" x14ac:dyDescent="0.2">
      <c r="A201" s="169" t="s">
        <v>1292</v>
      </c>
      <c r="B201" s="136" t="s">
        <v>1171</v>
      </c>
      <c r="C201" s="136" t="s">
        <v>1090</v>
      </c>
      <c r="D201" s="136" t="s">
        <v>919</v>
      </c>
      <c r="E201" s="137" t="s">
        <v>33</v>
      </c>
      <c r="F201" s="144">
        <v>9</v>
      </c>
      <c r="G201" s="147">
        <v>54.9</v>
      </c>
      <c r="H201" s="147">
        <v>70.72</v>
      </c>
      <c r="I201" s="277">
        <f t="shared" si="3"/>
        <v>636.48</v>
      </c>
    </row>
    <row r="202" spans="1:9" ht="24" customHeight="1" x14ac:dyDescent="0.2">
      <c r="A202" s="169" t="s">
        <v>1293</v>
      </c>
      <c r="B202" s="136" t="s">
        <v>1294</v>
      </c>
      <c r="C202" s="136" t="s">
        <v>1090</v>
      </c>
      <c r="D202" s="136" t="s">
        <v>905</v>
      </c>
      <c r="E202" s="137" t="s">
        <v>904</v>
      </c>
      <c r="F202" s="144">
        <v>37</v>
      </c>
      <c r="G202" s="147">
        <v>76.290000000000006</v>
      </c>
      <c r="H202" s="147">
        <v>98.27</v>
      </c>
      <c r="I202" s="277">
        <f t="shared" si="3"/>
        <v>3635.99</v>
      </c>
    </row>
    <row r="203" spans="1:9" ht="24" customHeight="1" x14ac:dyDescent="0.2">
      <c r="A203" s="166" t="s">
        <v>108</v>
      </c>
      <c r="B203" s="133" t="s">
        <v>1071</v>
      </c>
      <c r="C203" s="133"/>
      <c r="D203" s="133" t="s">
        <v>163</v>
      </c>
      <c r="E203" s="134"/>
      <c r="F203" s="143">
        <v>1</v>
      </c>
      <c r="G203" s="146" t="s">
        <v>1072</v>
      </c>
      <c r="H203" s="146">
        <v>305697.98</v>
      </c>
      <c r="I203" s="276">
        <f>I204+I217+I223+I228+I234+I244+I248+I251</f>
        <v>278618.34999999998</v>
      </c>
    </row>
    <row r="204" spans="1:9" ht="24" customHeight="1" x14ac:dyDescent="0.2">
      <c r="A204" s="166" t="s">
        <v>110</v>
      </c>
      <c r="B204" s="133" t="s">
        <v>1071</v>
      </c>
      <c r="C204" s="133"/>
      <c r="D204" s="133" t="s">
        <v>124</v>
      </c>
      <c r="E204" s="134"/>
      <c r="F204" s="143">
        <v>1</v>
      </c>
      <c r="G204" s="146" t="s">
        <v>1072</v>
      </c>
      <c r="H204" s="146">
        <v>27764.6</v>
      </c>
      <c r="I204" s="276">
        <f>SUM(I205:I216)</f>
        <v>27764.599999999995</v>
      </c>
    </row>
    <row r="205" spans="1:9" ht="26.1" customHeight="1" x14ac:dyDescent="0.2">
      <c r="A205" s="169" t="s">
        <v>478</v>
      </c>
      <c r="B205" s="136" t="s">
        <v>1240</v>
      </c>
      <c r="C205" s="136" t="s">
        <v>1075</v>
      </c>
      <c r="D205" s="136" t="s">
        <v>450</v>
      </c>
      <c r="E205" s="137" t="s">
        <v>19</v>
      </c>
      <c r="F205" s="144">
        <v>11.19</v>
      </c>
      <c r="G205" s="147">
        <v>73.81</v>
      </c>
      <c r="H205" s="147">
        <v>95.08</v>
      </c>
      <c r="I205" s="277">
        <f t="shared" si="3"/>
        <v>1063.94</v>
      </c>
    </row>
    <row r="206" spans="1:9" ht="24" customHeight="1" x14ac:dyDescent="0.2">
      <c r="A206" s="169" t="s">
        <v>479</v>
      </c>
      <c r="B206" s="136" t="s">
        <v>1242</v>
      </c>
      <c r="C206" s="136" t="s">
        <v>1090</v>
      </c>
      <c r="D206" s="136" t="s">
        <v>451</v>
      </c>
      <c r="E206" s="137" t="s">
        <v>19</v>
      </c>
      <c r="F206" s="144">
        <v>11.19</v>
      </c>
      <c r="G206" s="147">
        <v>55.98</v>
      </c>
      <c r="H206" s="147">
        <v>72.11</v>
      </c>
      <c r="I206" s="277">
        <f t="shared" si="3"/>
        <v>806.91</v>
      </c>
    </row>
    <row r="207" spans="1:9" ht="24" customHeight="1" x14ac:dyDescent="0.2">
      <c r="A207" s="169" t="s">
        <v>480</v>
      </c>
      <c r="B207" s="136" t="s">
        <v>1116</v>
      </c>
      <c r="C207" s="136" t="s">
        <v>1075</v>
      </c>
      <c r="D207" s="136" t="s">
        <v>57</v>
      </c>
      <c r="E207" s="137" t="s">
        <v>13</v>
      </c>
      <c r="F207" s="144">
        <v>15.04</v>
      </c>
      <c r="G207" s="147">
        <v>27.99</v>
      </c>
      <c r="H207" s="147">
        <v>36.049999999999997</v>
      </c>
      <c r="I207" s="277">
        <f t="shared" si="3"/>
        <v>542.19000000000005</v>
      </c>
    </row>
    <row r="208" spans="1:9" ht="39" customHeight="1" x14ac:dyDescent="0.2">
      <c r="A208" s="169" t="s">
        <v>481</v>
      </c>
      <c r="B208" s="136" t="s">
        <v>1295</v>
      </c>
      <c r="C208" s="136" t="s">
        <v>1075</v>
      </c>
      <c r="D208" s="136" t="s">
        <v>482</v>
      </c>
      <c r="E208" s="137" t="s">
        <v>13</v>
      </c>
      <c r="F208" s="144">
        <v>15.04</v>
      </c>
      <c r="G208" s="147">
        <v>20.76</v>
      </c>
      <c r="H208" s="147">
        <v>26.74</v>
      </c>
      <c r="I208" s="277">
        <f t="shared" si="3"/>
        <v>402.16</v>
      </c>
    </row>
    <row r="209" spans="1:9" ht="26.1" customHeight="1" x14ac:dyDescent="0.2">
      <c r="A209" s="169" t="s">
        <v>483</v>
      </c>
      <c r="B209" s="136" t="s">
        <v>1296</v>
      </c>
      <c r="C209" s="136" t="s">
        <v>1075</v>
      </c>
      <c r="D209" s="136" t="s">
        <v>484</v>
      </c>
      <c r="E209" s="137" t="s">
        <v>386</v>
      </c>
      <c r="F209" s="144">
        <v>80.7</v>
      </c>
      <c r="G209" s="147">
        <v>17.73</v>
      </c>
      <c r="H209" s="147">
        <v>22.83</v>
      </c>
      <c r="I209" s="277">
        <f t="shared" si="3"/>
        <v>1842.38</v>
      </c>
    </row>
    <row r="210" spans="1:9" ht="26.1" customHeight="1" x14ac:dyDescent="0.2">
      <c r="A210" s="169" t="s">
        <v>485</v>
      </c>
      <c r="B210" s="136" t="s">
        <v>1202</v>
      </c>
      <c r="C210" s="136" t="s">
        <v>1075</v>
      </c>
      <c r="D210" s="136" t="s">
        <v>385</v>
      </c>
      <c r="E210" s="137" t="s">
        <v>386</v>
      </c>
      <c r="F210" s="144">
        <v>94.5</v>
      </c>
      <c r="G210" s="147">
        <v>16.18</v>
      </c>
      <c r="H210" s="147">
        <v>20.84</v>
      </c>
      <c r="I210" s="277">
        <f t="shared" si="3"/>
        <v>1969.38</v>
      </c>
    </row>
    <row r="211" spans="1:9" ht="26.1" customHeight="1" x14ac:dyDescent="0.2">
      <c r="A211" s="169" t="s">
        <v>486</v>
      </c>
      <c r="B211" s="136" t="s">
        <v>1297</v>
      </c>
      <c r="C211" s="136" t="s">
        <v>1075</v>
      </c>
      <c r="D211" s="136" t="s">
        <v>487</v>
      </c>
      <c r="E211" s="137" t="s">
        <v>386</v>
      </c>
      <c r="F211" s="144">
        <v>105.4</v>
      </c>
      <c r="G211" s="147">
        <v>14.25</v>
      </c>
      <c r="H211" s="147">
        <v>18.350000000000001</v>
      </c>
      <c r="I211" s="277">
        <f t="shared" si="3"/>
        <v>1934.09</v>
      </c>
    </row>
    <row r="212" spans="1:9" ht="26.1" customHeight="1" x14ac:dyDescent="0.2">
      <c r="A212" s="169" t="s">
        <v>488</v>
      </c>
      <c r="B212" s="136" t="s">
        <v>1298</v>
      </c>
      <c r="C212" s="136" t="s">
        <v>1075</v>
      </c>
      <c r="D212" s="136" t="s">
        <v>489</v>
      </c>
      <c r="E212" s="137" t="s">
        <v>386</v>
      </c>
      <c r="F212" s="144">
        <v>74.599999999999994</v>
      </c>
      <c r="G212" s="147">
        <v>19.41</v>
      </c>
      <c r="H212" s="147">
        <v>25</v>
      </c>
      <c r="I212" s="277">
        <f t="shared" si="3"/>
        <v>1865</v>
      </c>
    </row>
    <row r="213" spans="1:9" ht="51.95" customHeight="1" x14ac:dyDescent="0.2">
      <c r="A213" s="169" t="s">
        <v>490</v>
      </c>
      <c r="B213" s="136" t="s">
        <v>1299</v>
      </c>
      <c r="C213" s="136" t="s">
        <v>1075</v>
      </c>
      <c r="D213" s="136" t="s">
        <v>491</v>
      </c>
      <c r="E213" s="137" t="s">
        <v>13</v>
      </c>
      <c r="F213" s="144">
        <v>75.94</v>
      </c>
      <c r="G213" s="147">
        <v>94.22</v>
      </c>
      <c r="H213" s="147">
        <v>121.37</v>
      </c>
      <c r="I213" s="277">
        <f t="shared" si="3"/>
        <v>9216.83</v>
      </c>
    </row>
    <row r="214" spans="1:9" ht="39" customHeight="1" x14ac:dyDescent="0.2">
      <c r="A214" s="169" t="s">
        <v>492</v>
      </c>
      <c r="B214" s="136" t="s">
        <v>1204</v>
      </c>
      <c r="C214" s="136" t="s">
        <v>1075</v>
      </c>
      <c r="D214" s="136" t="s">
        <v>388</v>
      </c>
      <c r="E214" s="137" t="s">
        <v>19</v>
      </c>
      <c r="F214" s="144">
        <v>5.64</v>
      </c>
      <c r="G214" s="147">
        <v>577.64</v>
      </c>
      <c r="H214" s="147">
        <v>744.11</v>
      </c>
      <c r="I214" s="277">
        <f t="shared" si="3"/>
        <v>4196.78</v>
      </c>
    </row>
    <row r="215" spans="1:9" ht="26.1" customHeight="1" x14ac:dyDescent="0.2">
      <c r="A215" s="169" t="s">
        <v>493</v>
      </c>
      <c r="B215" s="136" t="s">
        <v>1205</v>
      </c>
      <c r="C215" s="136" t="s">
        <v>1075</v>
      </c>
      <c r="D215" s="136" t="s">
        <v>389</v>
      </c>
      <c r="E215" s="137" t="s">
        <v>19</v>
      </c>
      <c r="F215" s="144">
        <v>5.64</v>
      </c>
      <c r="G215" s="147">
        <v>260.81</v>
      </c>
      <c r="H215" s="147">
        <v>335.97</v>
      </c>
      <c r="I215" s="277">
        <f t="shared" si="3"/>
        <v>1894.87</v>
      </c>
    </row>
    <row r="216" spans="1:9" ht="26.1" customHeight="1" x14ac:dyDescent="0.2">
      <c r="A216" s="169" t="s">
        <v>494</v>
      </c>
      <c r="B216" s="136" t="s">
        <v>1300</v>
      </c>
      <c r="C216" s="136" t="s">
        <v>1075</v>
      </c>
      <c r="D216" s="136" t="s">
        <v>495</v>
      </c>
      <c r="E216" s="137" t="s">
        <v>13</v>
      </c>
      <c r="F216" s="144">
        <v>38.58</v>
      </c>
      <c r="G216" s="147">
        <v>40.85</v>
      </c>
      <c r="H216" s="147">
        <v>52.62</v>
      </c>
      <c r="I216" s="277">
        <f t="shared" si="3"/>
        <v>2030.07</v>
      </c>
    </row>
    <row r="217" spans="1:9" ht="24" customHeight="1" x14ac:dyDescent="0.2">
      <c r="A217" s="166" t="s">
        <v>123</v>
      </c>
      <c r="B217" s="133" t="s">
        <v>1071</v>
      </c>
      <c r="C217" s="133"/>
      <c r="D217" s="133" t="s">
        <v>126</v>
      </c>
      <c r="E217" s="134"/>
      <c r="F217" s="143">
        <v>1</v>
      </c>
      <c r="G217" s="146" t="s">
        <v>1072</v>
      </c>
      <c r="H217" s="146">
        <v>31716.01</v>
      </c>
      <c r="I217" s="276">
        <f>SUM(I218:I222)</f>
        <v>31716.01</v>
      </c>
    </row>
    <row r="218" spans="1:9" ht="39" customHeight="1" x14ac:dyDescent="0.2">
      <c r="A218" s="169" t="s">
        <v>496</v>
      </c>
      <c r="B218" s="136" t="s">
        <v>1301</v>
      </c>
      <c r="C218" s="136" t="s">
        <v>1075</v>
      </c>
      <c r="D218" s="136" t="s">
        <v>497</v>
      </c>
      <c r="E218" s="137" t="s">
        <v>386</v>
      </c>
      <c r="F218" s="144">
        <v>277.7</v>
      </c>
      <c r="G218" s="147">
        <v>12.87</v>
      </c>
      <c r="H218" s="147">
        <v>16.57</v>
      </c>
      <c r="I218" s="277">
        <f t="shared" si="3"/>
        <v>4601.4799999999996</v>
      </c>
    </row>
    <row r="219" spans="1:9" ht="39" customHeight="1" x14ac:dyDescent="0.2">
      <c r="A219" s="169" t="s">
        <v>498</v>
      </c>
      <c r="B219" s="136" t="s">
        <v>1302</v>
      </c>
      <c r="C219" s="136" t="s">
        <v>1075</v>
      </c>
      <c r="D219" s="136" t="s">
        <v>499</v>
      </c>
      <c r="E219" s="137" t="s">
        <v>386</v>
      </c>
      <c r="F219" s="144">
        <v>130.30000000000001</v>
      </c>
      <c r="G219" s="147">
        <v>14.14</v>
      </c>
      <c r="H219" s="147">
        <v>18.21</v>
      </c>
      <c r="I219" s="277">
        <f t="shared" si="3"/>
        <v>2372.7600000000002</v>
      </c>
    </row>
    <row r="220" spans="1:9" ht="39" customHeight="1" x14ac:dyDescent="0.2">
      <c r="A220" s="169" t="s">
        <v>500</v>
      </c>
      <c r="B220" s="136" t="s">
        <v>1204</v>
      </c>
      <c r="C220" s="136" t="s">
        <v>1075</v>
      </c>
      <c r="D220" s="136" t="s">
        <v>388</v>
      </c>
      <c r="E220" s="137" t="s">
        <v>19</v>
      </c>
      <c r="F220" s="144">
        <v>6.63</v>
      </c>
      <c r="G220" s="147">
        <v>577.64</v>
      </c>
      <c r="H220" s="147">
        <v>744.11</v>
      </c>
      <c r="I220" s="277">
        <f t="shared" si="3"/>
        <v>4933.4399999999996</v>
      </c>
    </row>
    <row r="221" spans="1:9" ht="26.1" customHeight="1" x14ac:dyDescent="0.2">
      <c r="A221" s="169" t="s">
        <v>501</v>
      </c>
      <c r="B221" s="136" t="s">
        <v>1205</v>
      </c>
      <c r="C221" s="136" t="s">
        <v>1075</v>
      </c>
      <c r="D221" s="136" t="s">
        <v>389</v>
      </c>
      <c r="E221" s="137" t="s">
        <v>19</v>
      </c>
      <c r="F221" s="144">
        <v>6.63</v>
      </c>
      <c r="G221" s="147">
        <v>260.81</v>
      </c>
      <c r="H221" s="147">
        <v>335.97</v>
      </c>
      <c r="I221" s="277">
        <f t="shared" si="3"/>
        <v>2227.48</v>
      </c>
    </row>
    <row r="222" spans="1:9" ht="26.1" customHeight="1" x14ac:dyDescent="0.2">
      <c r="A222" s="169" t="s">
        <v>502</v>
      </c>
      <c r="B222" s="136" t="s">
        <v>1303</v>
      </c>
      <c r="C222" s="136" t="s">
        <v>1075</v>
      </c>
      <c r="D222" s="136" t="s">
        <v>503</v>
      </c>
      <c r="E222" s="137" t="s">
        <v>13</v>
      </c>
      <c r="F222" s="144">
        <v>116.7</v>
      </c>
      <c r="G222" s="147">
        <v>116.95</v>
      </c>
      <c r="H222" s="147">
        <v>150.65</v>
      </c>
      <c r="I222" s="277">
        <f t="shared" si="3"/>
        <v>17580.849999999999</v>
      </c>
    </row>
    <row r="223" spans="1:9" ht="24" customHeight="1" x14ac:dyDescent="0.2">
      <c r="A223" s="166" t="s">
        <v>125</v>
      </c>
      <c r="B223" s="133" t="s">
        <v>1071</v>
      </c>
      <c r="C223" s="133"/>
      <c r="D223" s="133" t="s">
        <v>40</v>
      </c>
      <c r="E223" s="134"/>
      <c r="F223" s="143">
        <v>1</v>
      </c>
      <c r="G223" s="146" t="s">
        <v>1072</v>
      </c>
      <c r="H223" s="146">
        <v>20729.849999999999</v>
      </c>
      <c r="I223" s="276">
        <f>SUM(I224:I227)</f>
        <v>20729.850000000002</v>
      </c>
    </row>
    <row r="224" spans="1:9" ht="51.95" customHeight="1" x14ac:dyDescent="0.2">
      <c r="A224" s="169" t="s">
        <v>127</v>
      </c>
      <c r="B224" s="136" t="s">
        <v>1210</v>
      </c>
      <c r="C224" s="136" t="s">
        <v>1075</v>
      </c>
      <c r="D224" s="136" t="s">
        <v>132</v>
      </c>
      <c r="E224" s="137" t="s">
        <v>13</v>
      </c>
      <c r="F224" s="144">
        <v>120.33</v>
      </c>
      <c r="G224" s="147">
        <v>117.61</v>
      </c>
      <c r="H224" s="147">
        <v>151.5</v>
      </c>
      <c r="I224" s="277">
        <f t="shared" si="3"/>
        <v>18229.990000000002</v>
      </c>
    </row>
    <row r="225" spans="1:9" ht="26.1" customHeight="1" x14ac:dyDescent="0.2">
      <c r="A225" s="169" t="s">
        <v>129</v>
      </c>
      <c r="B225" s="136" t="s">
        <v>1304</v>
      </c>
      <c r="C225" s="136" t="s">
        <v>1075</v>
      </c>
      <c r="D225" s="136" t="s">
        <v>164</v>
      </c>
      <c r="E225" s="137" t="s">
        <v>10</v>
      </c>
      <c r="F225" s="144">
        <v>14.1</v>
      </c>
      <c r="G225" s="147">
        <v>64.23</v>
      </c>
      <c r="H225" s="147">
        <v>82.74</v>
      </c>
      <c r="I225" s="277">
        <f t="shared" si="3"/>
        <v>1166.6300000000001</v>
      </c>
    </row>
    <row r="226" spans="1:9" ht="26.1" customHeight="1" x14ac:dyDescent="0.2">
      <c r="A226" s="169" t="s">
        <v>130</v>
      </c>
      <c r="B226" s="136" t="s">
        <v>1305</v>
      </c>
      <c r="C226" s="136" t="s">
        <v>1075</v>
      </c>
      <c r="D226" s="136" t="s">
        <v>165</v>
      </c>
      <c r="E226" s="137" t="s">
        <v>10</v>
      </c>
      <c r="F226" s="144">
        <v>9.3000000000000007</v>
      </c>
      <c r="G226" s="147">
        <v>49.73</v>
      </c>
      <c r="H226" s="147">
        <v>64.06</v>
      </c>
      <c r="I226" s="277">
        <f t="shared" si="3"/>
        <v>595.75</v>
      </c>
    </row>
    <row r="227" spans="1:9" ht="26.1" customHeight="1" x14ac:dyDescent="0.2">
      <c r="A227" s="169" t="s">
        <v>277</v>
      </c>
      <c r="B227" s="136" t="s">
        <v>1306</v>
      </c>
      <c r="C227" s="136" t="s">
        <v>1075</v>
      </c>
      <c r="D227" s="136" t="s">
        <v>166</v>
      </c>
      <c r="E227" s="137" t="s">
        <v>10</v>
      </c>
      <c r="F227" s="144">
        <v>43.69</v>
      </c>
      <c r="G227" s="147">
        <v>13.11</v>
      </c>
      <c r="H227" s="147">
        <v>16.88</v>
      </c>
      <c r="I227" s="277">
        <f t="shared" si="3"/>
        <v>737.48</v>
      </c>
    </row>
    <row r="228" spans="1:9" ht="24" customHeight="1" x14ac:dyDescent="0.2">
      <c r="A228" s="166" t="s">
        <v>131</v>
      </c>
      <c r="B228" s="133" t="s">
        <v>1071</v>
      </c>
      <c r="C228" s="133"/>
      <c r="D228" s="133" t="s">
        <v>135</v>
      </c>
      <c r="E228" s="134"/>
      <c r="F228" s="143">
        <v>1</v>
      </c>
      <c r="G228" s="146" t="s">
        <v>1072</v>
      </c>
      <c r="H228" s="146">
        <v>78061.09</v>
      </c>
      <c r="I228" s="276">
        <f>SUM(I229:I233)</f>
        <v>50981.460000000006</v>
      </c>
    </row>
    <row r="229" spans="1:9" ht="39" customHeight="1" x14ac:dyDescent="0.2">
      <c r="A229" s="169" t="s">
        <v>1307</v>
      </c>
      <c r="B229" s="136" t="s">
        <v>1558</v>
      </c>
      <c r="C229" s="136" t="s">
        <v>1090</v>
      </c>
      <c r="D229" s="136" t="s">
        <v>1559</v>
      </c>
      <c r="E229" s="137" t="s">
        <v>13</v>
      </c>
      <c r="F229" s="144">
        <v>119.22</v>
      </c>
      <c r="G229" s="147">
        <v>224.43</v>
      </c>
      <c r="H229" s="147">
        <v>289.11</v>
      </c>
      <c r="I229" s="277">
        <f t="shared" si="3"/>
        <v>34467.69</v>
      </c>
    </row>
    <row r="230" spans="1:9" ht="26.1" customHeight="1" x14ac:dyDescent="0.2">
      <c r="A230" s="169" t="s">
        <v>133</v>
      </c>
      <c r="B230" s="136" t="s">
        <v>1217</v>
      </c>
      <c r="C230" s="136" t="s">
        <v>1075</v>
      </c>
      <c r="D230" s="136" t="s">
        <v>140</v>
      </c>
      <c r="E230" s="137" t="s">
        <v>10</v>
      </c>
      <c r="F230" s="144">
        <v>33.53</v>
      </c>
      <c r="G230" s="147">
        <v>49.32</v>
      </c>
      <c r="H230" s="147">
        <v>63.53</v>
      </c>
      <c r="I230" s="277">
        <f t="shared" si="3"/>
        <v>2130.16</v>
      </c>
    </row>
    <row r="231" spans="1:9" ht="39" customHeight="1" x14ac:dyDescent="0.2">
      <c r="A231" s="169" t="s">
        <v>278</v>
      </c>
      <c r="B231" s="136" t="s">
        <v>1308</v>
      </c>
      <c r="C231" s="136" t="s">
        <v>1075</v>
      </c>
      <c r="D231" s="136" t="s">
        <v>141</v>
      </c>
      <c r="E231" s="137" t="s">
        <v>10</v>
      </c>
      <c r="F231" s="144">
        <v>9.9600000000000009</v>
      </c>
      <c r="G231" s="147">
        <v>78.489999999999995</v>
      </c>
      <c r="H231" s="147">
        <v>101.11</v>
      </c>
      <c r="I231" s="277">
        <f t="shared" si="3"/>
        <v>1007.05</v>
      </c>
    </row>
    <row r="232" spans="1:9" ht="24" customHeight="1" x14ac:dyDescent="0.2">
      <c r="A232" s="169" t="s">
        <v>279</v>
      </c>
      <c r="B232" s="136" t="s">
        <v>1222</v>
      </c>
      <c r="C232" s="136" t="s">
        <v>1090</v>
      </c>
      <c r="D232" s="136" t="s">
        <v>143</v>
      </c>
      <c r="E232" s="137" t="s">
        <v>10</v>
      </c>
      <c r="F232" s="144">
        <v>43.69</v>
      </c>
      <c r="G232" s="147">
        <v>94.28</v>
      </c>
      <c r="H232" s="147">
        <v>121.45</v>
      </c>
      <c r="I232" s="277">
        <f t="shared" si="3"/>
        <v>5306.15</v>
      </c>
    </row>
    <row r="233" spans="1:9" ht="26.1" customHeight="1" x14ac:dyDescent="0.2">
      <c r="A233" s="169" t="s">
        <v>280</v>
      </c>
      <c r="B233" s="136" t="s">
        <v>1224</v>
      </c>
      <c r="C233" s="136" t="s">
        <v>1090</v>
      </c>
      <c r="D233" s="136" t="s">
        <v>144</v>
      </c>
      <c r="E233" s="137" t="s">
        <v>13</v>
      </c>
      <c r="F233" s="144">
        <v>43.69</v>
      </c>
      <c r="G233" s="147">
        <v>143.4</v>
      </c>
      <c r="H233" s="147">
        <v>184.72</v>
      </c>
      <c r="I233" s="277">
        <f t="shared" si="3"/>
        <v>8070.41</v>
      </c>
    </row>
    <row r="234" spans="1:9" ht="24" customHeight="1" x14ac:dyDescent="0.2">
      <c r="A234" s="166" t="s">
        <v>134</v>
      </c>
      <c r="B234" s="133" t="s">
        <v>1071</v>
      </c>
      <c r="C234" s="133"/>
      <c r="D234" s="133" t="s">
        <v>146</v>
      </c>
      <c r="E234" s="134"/>
      <c r="F234" s="143">
        <v>1</v>
      </c>
      <c r="G234" s="146" t="s">
        <v>1072</v>
      </c>
      <c r="H234" s="146">
        <v>93896.34</v>
      </c>
      <c r="I234" s="276">
        <f>I235+I239+I242</f>
        <v>93896.34</v>
      </c>
    </row>
    <row r="235" spans="1:9" ht="24" customHeight="1" x14ac:dyDescent="0.2">
      <c r="A235" s="166" t="s">
        <v>136</v>
      </c>
      <c r="B235" s="133" t="s">
        <v>1071</v>
      </c>
      <c r="C235" s="133"/>
      <c r="D235" s="133" t="s">
        <v>55</v>
      </c>
      <c r="E235" s="134"/>
      <c r="F235" s="143">
        <v>1</v>
      </c>
      <c r="G235" s="146" t="s">
        <v>1072</v>
      </c>
      <c r="H235" s="146">
        <v>60917.38</v>
      </c>
      <c r="I235" s="276">
        <f>SUM(I236:I238)</f>
        <v>60917.38</v>
      </c>
    </row>
    <row r="236" spans="1:9" ht="39" customHeight="1" x14ac:dyDescent="0.2">
      <c r="A236" s="169" t="s">
        <v>282</v>
      </c>
      <c r="B236" s="136" t="s">
        <v>1309</v>
      </c>
      <c r="C236" s="136" t="s">
        <v>1075</v>
      </c>
      <c r="D236" s="136" t="s">
        <v>167</v>
      </c>
      <c r="E236" s="137" t="s">
        <v>13</v>
      </c>
      <c r="F236" s="144">
        <v>118.97</v>
      </c>
      <c r="G236" s="147">
        <v>120.55</v>
      </c>
      <c r="H236" s="147">
        <v>155.29</v>
      </c>
      <c r="I236" s="277">
        <f t="shared" si="3"/>
        <v>18474.849999999999</v>
      </c>
    </row>
    <row r="237" spans="1:9" ht="26.1" customHeight="1" x14ac:dyDescent="0.2">
      <c r="A237" s="169" t="s">
        <v>283</v>
      </c>
      <c r="B237" s="136" t="s">
        <v>1111</v>
      </c>
      <c r="C237" s="136" t="s">
        <v>1090</v>
      </c>
      <c r="D237" s="136" t="s">
        <v>51</v>
      </c>
      <c r="E237" s="137" t="s">
        <v>13</v>
      </c>
      <c r="F237" s="144">
        <v>118.97</v>
      </c>
      <c r="G237" s="147">
        <v>272.64</v>
      </c>
      <c r="H237" s="147">
        <v>351.21</v>
      </c>
      <c r="I237" s="277">
        <f t="shared" si="3"/>
        <v>41783.449999999997</v>
      </c>
    </row>
    <row r="238" spans="1:9" ht="26.1" customHeight="1" x14ac:dyDescent="0.2">
      <c r="A238" s="169" t="s">
        <v>284</v>
      </c>
      <c r="B238" s="136" t="s">
        <v>1121</v>
      </c>
      <c r="C238" s="136" t="s">
        <v>1090</v>
      </c>
      <c r="D238" s="136" t="s">
        <v>65</v>
      </c>
      <c r="E238" s="137" t="s">
        <v>10</v>
      </c>
      <c r="F238" s="144">
        <v>39.49</v>
      </c>
      <c r="G238" s="147">
        <v>12.96</v>
      </c>
      <c r="H238" s="147">
        <v>16.690000000000001</v>
      </c>
      <c r="I238" s="277">
        <f t="shared" si="3"/>
        <v>659.08</v>
      </c>
    </row>
    <row r="239" spans="1:9" ht="24" customHeight="1" x14ac:dyDescent="0.2">
      <c r="A239" s="166" t="s">
        <v>137</v>
      </c>
      <c r="B239" s="133" t="s">
        <v>1071</v>
      </c>
      <c r="C239" s="133"/>
      <c r="D239" s="133" t="s">
        <v>45</v>
      </c>
      <c r="E239" s="134"/>
      <c r="F239" s="143">
        <v>1</v>
      </c>
      <c r="G239" s="146" t="s">
        <v>1072</v>
      </c>
      <c r="H239" s="146">
        <v>18163.63</v>
      </c>
      <c r="I239" s="276">
        <f>SUM(I240:I241)</f>
        <v>18163.63</v>
      </c>
    </row>
    <row r="240" spans="1:9" ht="51.95" customHeight="1" x14ac:dyDescent="0.2">
      <c r="A240" s="169" t="s">
        <v>285</v>
      </c>
      <c r="B240" s="136" t="s">
        <v>1109</v>
      </c>
      <c r="C240" s="136" t="s">
        <v>1075</v>
      </c>
      <c r="D240" s="136" t="s">
        <v>47</v>
      </c>
      <c r="E240" s="137" t="s">
        <v>13</v>
      </c>
      <c r="F240" s="144">
        <v>284.33999999999997</v>
      </c>
      <c r="G240" s="147">
        <v>6.51</v>
      </c>
      <c r="H240" s="147">
        <v>8.3800000000000008</v>
      </c>
      <c r="I240" s="277">
        <f t="shared" si="3"/>
        <v>2382.7600000000002</v>
      </c>
    </row>
    <row r="241" spans="1:9" ht="51.95" customHeight="1" x14ac:dyDescent="0.2">
      <c r="A241" s="169" t="s">
        <v>286</v>
      </c>
      <c r="B241" s="136" t="s">
        <v>1110</v>
      </c>
      <c r="C241" s="136" t="s">
        <v>1075</v>
      </c>
      <c r="D241" s="136" t="s">
        <v>49</v>
      </c>
      <c r="E241" s="137" t="s">
        <v>13</v>
      </c>
      <c r="F241" s="144">
        <v>284.33999999999997</v>
      </c>
      <c r="G241" s="147">
        <v>43.09</v>
      </c>
      <c r="H241" s="147">
        <v>55.5</v>
      </c>
      <c r="I241" s="277">
        <f t="shared" si="3"/>
        <v>15780.87</v>
      </c>
    </row>
    <row r="242" spans="1:9" ht="24" customHeight="1" x14ac:dyDescent="0.2">
      <c r="A242" s="166" t="s">
        <v>139</v>
      </c>
      <c r="B242" s="133" t="s">
        <v>1071</v>
      </c>
      <c r="C242" s="133"/>
      <c r="D242" s="133" t="s">
        <v>67</v>
      </c>
      <c r="E242" s="134"/>
      <c r="F242" s="143">
        <v>1</v>
      </c>
      <c r="G242" s="146" t="s">
        <v>1072</v>
      </c>
      <c r="H242" s="146">
        <v>14815.33</v>
      </c>
      <c r="I242" s="276">
        <f>I243</f>
        <v>14815.33</v>
      </c>
    </row>
    <row r="243" spans="1:9" ht="104.1" customHeight="1" x14ac:dyDescent="0.2">
      <c r="A243" s="169" t="s">
        <v>287</v>
      </c>
      <c r="B243" s="136" t="s">
        <v>1122</v>
      </c>
      <c r="C243" s="136" t="s">
        <v>1090</v>
      </c>
      <c r="D243" s="136" t="s">
        <v>69</v>
      </c>
      <c r="E243" s="137" t="s">
        <v>13</v>
      </c>
      <c r="F243" s="144">
        <v>118.97</v>
      </c>
      <c r="G243" s="147">
        <v>96.67</v>
      </c>
      <c r="H243" s="147">
        <v>124.53</v>
      </c>
      <c r="I243" s="277">
        <f t="shared" si="3"/>
        <v>14815.33</v>
      </c>
    </row>
    <row r="244" spans="1:9" ht="24" customHeight="1" x14ac:dyDescent="0.2">
      <c r="A244" s="166" t="s">
        <v>145</v>
      </c>
      <c r="B244" s="133" t="s">
        <v>1071</v>
      </c>
      <c r="C244" s="133"/>
      <c r="D244" s="133" t="s">
        <v>71</v>
      </c>
      <c r="E244" s="134"/>
      <c r="F244" s="143">
        <v>1</v>
      </c>
      <c r="G244" s="146" t="s">
        <v>1072</v>
      </c>
      <c r="H244" s="146">
        <v>17938.990000000002</v>
      </c>
      <c r="I244" s="276">
        <f>SUM(I245:I247)</f>
        <v>17938.990000000002</v>
      </c>
    </row>
    <row r="245" spans="1:9" ht="26.1" customHeight="1" x14ac:dyDescent="0.2">
      <c r="A245" s="169" t="s">
        <v>147</v>
      </c>
      <c r="B245" s="136" t="s">
        <v>1123</v>
      </c>
      <c r="C245" s="136" t="s">
        <v>1075</v>
      </c>
      <c r="D245" s="136" t="s">
        <v>73</v>
      </c>
      <c r="E245" s="137" t="s">
        <v>13</v>
      </c>
      <c r="F245" s="144">
        <v>284.33999999999997</v>
      </c>
      <c r="G245" s="147">
        <v>3.43</v>
      </c>
      <c r="H245" s="147">
        <v>4.41</v>
      </c>
      <c r="I245" s="277">
        <f t="shared" si="3"/>
        <v>1253.93</v>
      </c>
    </row>
    <row r="246" spans="1:9" ht="39" customHeight="1" x14ac:dyDescent="0.2">
      <c r="A246" s="169" t="s">
        <v>151</v>
      </c>
      <c r="B246" s="136" t="s">
        <v>1310</v>
      </c>
      <c r="C246" s="136" t="s">
        <v>1075</v>
      </c>
      <c r="D246" s="136" t="s">
        <v>168</v>
      </c>
      <c r="E246" s="137" t="s">
        <v>13</v>
      </c>
      <c r="F246" s="144">
        <v>284.33999999999997</v>
      </c>
      <c r="G246" s="147">
        <v>30.8</v>
      </c>
      <c r="H246" s="147">
        <v>39.67</v>
      </c>
      <c r="I246" s="277">
        <f t="shared" si="3"/>
        <v>11279.76</v>
      </c>
    </row>
    <row r="247" spans="1:9" ht="39" customHeight="1" x14ac:dyDescent="0.2">
      <c r="A247" s="169" t="s">
        <v>153</v>
      </c>
      <c r="B247" s="136" t="s">
        <v>1125</v>
      </c>
      <c r="C247" s="136" t="s">
        <v>1075</v>
      </c>
      <c r="D247" s="136" t="s">
        <v>77</v>
      </c>
      <c r="E247" s="137" t="s">
        <v>13</v>
      </c>
      <c r="F247" s="144">
        <v>284.33999999999997</v>
      </c>
      <c r="G247" s="147">
        <v>14.76</v>
      </c>
      <c r="H247" s="147">
        <v>19.010000000000002</v>
      </c>
      <c r="I247" s="277">
        <f t="shared" si="3"/>
        <v>5405.3</v>
      </c>
    </row>
    <row r="248" spans="1:9" ht="24" customHeight="1" x14ac:dyDescent="0.2">
      <c r="A248" s="166" t="s">
        <v>288</v>
      </c>
      <c r="B248" s="133" t="s">
        <v>1071</v>
      </c>
      <c r="C248" s="133"/>
      <c r="D248" s="133" t="s">
        <v>79</v>
      </c>
      <c r="E248" s="134"/>
      <c r="F248" s="143">
        <v>1</v>
      </c>
      <c r="G248" s="146" t="s">
        <v>1072</v>
      </c>
      <c r="H248" s="146">
        <v>27455.88</v>
      </c>
      <c r="I248" s="276">
        <f>SUM(I249:I250)</f>
        <v>27455.879999999997</v>
      </c>
    </row>
    <row r="249" spans="1:9" ht="39" customHeight="1" x14ac:dyDescent="0.2">
      <c r="A249" s="169" t="s">
        <v>289</v>
      </c>
      <c r="B249" s="136" t="s">
        <v>1311</v>
      </c>
      <c r="C249" s="136" t="s">
        <v>1090</v>
      </c>
      <c r="D249" s="136" t="s">
        <v>169</v>
      </c>
      <c r="E249" s="137" t="s">
        <v>13</v>
      </c>
      <c r="F249" s="144">
        <v>12.6</v>
      </c>
      <c r="G249" s="147">
        <v>1242.9100000000001</v>
      </c>
      <c r="H249" s="147">
        <v>1601.11</v>
      </c>
      <c r="I249" s="277">
        <f t="shared" si="3"/>
        <v>20173.98</v>
      </c>
    </row>
    <row r="250" spans="1:9" ht="51.95" customHeight="1" x14ac:dyDescent="0.2">
      <c r="A250" s="169" t="s">
        <v>290</v>
      </c>
      <c r="B250" s="136" t="s">
        <v>1312</v>
      </c>
      <c r="C250" s="136" t="s">
        <v>1090</v>
      </c>
      <c r="D250" s="136" t="s">
        <v>170</v>
      </c>
      <c r="E250" s="137" t="s">
        <v>13</v>
      </c>
      <c r="F250" s="144">
        <v>11.25</v>
      </c>
      <c r="G250" s="147">
        <v>502.47</v>
      </c>
      <c r="H250" s="147">
        <v>647.28</v>
      </c>
      <c r="I250" s="277">
        <f t="shared" si="3"/>
        <v>7281.9</v>
      </c>
    </row>
    <row r="251" spans="1:9" ht="24" customHeight="1" x14ac:dyDescent="0.2">
      <c r="A251" s="166" t="s">
        <v>504</v>
      </c>
      <c r="B251" s="133" t="s">
        <v>1071</v>
      </c>
      <c r="C251" s="133"/>
      <c r="D251" s="133" t="s">
        <v>505</v>
      </c>
      <c r="E251" s="134"/>
      <c r="F251" s="143">
        <v>1</v>
      </c>
      <c r="G251" s="146" t="s">
        <v>1072</v>
      </c>
      <c r="H251" s="146">
        <v>8135.22</v>
      </c>
      <c r="I251" s="276">
        <f>SUM(I252:I259)</f>
        <v>8135.2200000000012</v>
      </c>
    </row>
    <row r="252" spans="1:9" ht="24" customHeight="1" x14ac:dyDescent="0.2">
      <c r="A252" s="169" t="s">
        <v>918</v>
      </c>
      <c r="B252" s="136" t="s">
        <v>1173</v>
      </c>
      <c r="C252" s="136" t="s">
        <v>1090</v>
      </c>
      <c r="D252" s="136" t="s">
        <v>917</v>
      </c>
      <c r="E252" s="137" t="s">
        <v>33</v>
      </c>
      <c r="F252" s="144">
        <v>8</v>
      </c>
      <c r="G252" s="147">
        <v>23.36</v>
      </c>
      <c r="H252" s="147">
        <v>30.09</v>
      </c>
      <c r="I252" s="277">
        <f t="shared" si="3"/>
        <v>240.72</v>
      </c>
    </row>
    <row r="253" spans="1:9" ht="39" customHeight="1" x14ac:dyDescent="0.2">
      <c r="A253" s="169" t="s">
        <v>916</v>
      </c>
      <c r="B253" s="136" t="s">
        <v>1156</v>
      </c>
      <c r="C253" s="136" t="s">
        <v>1075</v>
      </c>
      <c r="D253" s="136" t="s">
        <v>667</v>
      </c>
      <c r="E253" s="137" t="s">
        <v>33</v>
      </c>
      <c r="F253" s="144">
        <v>2</v>
      </c>
      <c r="G253" s="147">
        <v>30.81</v>
      </c>
      <c r="H253" s="147">
        <v>39.68</v>
      </c>
      <c r="I253" s="277">
        <f t="shared" si="3"/>
        <v>79.36</v>
      </c>
    </row>
    <row r="254" spans="1:9" ht="39" customHeight="1" x14ac:dyDescent="0.2">
      <c r="A254" s="169" t="s">
        <v>915</v>
      </c>
      <c r="B254" s="136" t="s">
        <v>1313</v>
      </c>
      <c r="C254" s="136" t="s">
        <v>1075</v>
      </c>
      <c r="D254" s="136" t="s">
        <v>914</v>
      </c>
      <c r="E254" s="137" t="s">
        <v>33</v>
      </c>
      <c r="F254" s="144">
        <v>4</v>
      </c>
      <c r="G254" s="147">
        <v>10.23</v>
      </c>
      <c r="H254" s="147">
        <v>13.17</v>
      </c>
      <c r="I254" s="277">
        <f t="shared" si="3"/>
        <v>52.68</v>
      </c>
    </row>
    <row r="255" spans="1:9" ht="39" customHeight="1" x14ac:dyDescent="0.2">
      <c r="A255" s="169" t="s">
        <v>913</v>
      </c>
      <c r="B255" s="136" t="s">
        <v>1314</v>
      </c>
      <c r="C255" s="136" t="s">
        <v>1075</v>
      </c>
      <c r="D255" s="136" t="s">
        <v>912</v>
      </c>
      <c r="E255" s="137" t="s">
        <v>33</v>
      </c>
      <c r="F255" s="144">
        <v>9</v>
      </c>
      <c r="G255" s="147">
        <v>9.98</v>
      </c>
      <c r="H255" s="147">
        <v>12.85</v>
      </c>
      <c r="I255" s="277">
        <f t="shared" si="3"/>
        <v>115.65</v>
      </c>
    </row>
    <row r="256" spans="1:9" ht="39" customHeight="1" x14ac:dyDescent="0.2">
      <c r="A256" s="169" t="s">
        <v>911</v>
      </c>
      <c r="B256" s="136" t="s">
        <v>1176</v>
      </c>
      <c r="C256" s="136" t="s">
        <v>1075</v>
      </c>
      <c r="D256" s="136" t="s">
        <v>910</v>
      </c>
      <c r="E256" s="137" t="s">
        <v>10</v>
      </c>
      <c r="F256" s="144">
        <v>352</v>
      </c>
      <c r="G256" s="147">
        <v>9.39</v>
      </c>
      <c r="H256" s="147">
        <v>12.09</v>
      </c>
      <c r="I256" s="277">
        <f t="shared" si="3"/>
        <v>4255.68</v>
      </c>
    </row>
    <row r="257" spans="1:9" ht="24" customHeight="1" x14ac:dyDescent="0.2">
      <c r="A257" s="169" t="s">
        <v>909</v>
      </c>
      <c r="B257" s="136" t="s">
        <v>1177</v>
      </c>
      <c r="C257" s="136" t="s">
        <v>1090</v>
      </c>
      <c r="D257" s="136" t="s">
        <v>908</v>
      </c>
      <c r="E257" s="137" t="s">
        <v>33</v>
      </c>
      <c r="F257" s="144">
        <v>7</v>
      </c>
      <c r="G257" s="147">
        <v>7.59</v>
      </c>
      <c r="H257" s="147">
        <v>9.77</v>
      </c>
      <c r="I257" s="277">
        <f t="shared" si="3"/>
        <v>68.39</v>
      </c>
    </row>
    <row r="258" spans="1:9" ht="24" customHeight="1" x14ac:dyDescent="0.2">
      <c r="A258" s="169" t="s">
        <v>907</v>
      </c>
      <c r="B258" s="136" t="s">
        <v>1315</v>
      </c>
      <c r="C258" s="136" t="s">
        <v>1090</v>
      </c>
      <c r="D258" s="136" t="s">
        <v>661</v>
      </c>
      <c r="E258" s="137" t="s">
        <v>10</v>
      </c>
      <c r="F258" s="144">
        <v>40</v>
      </c>
      <c r="G258" s="147">
        <v>22.53</v>
      </c>
      <c r="H258" s="147">
        <v>29.02</v>
      </c>
      <c r="I258" s="277">
        <f t="shared" si="3"/>
        <v>1160.8</v>
      </c>
    </row>
    <row r="259" spans="1:9" ht="24" customHeight="1" x14ac:dyDescent="0.2">
      <c r="A259" s="169" t="s">
        <v>906</v>
      </c>
      <c r="B259" s="136" t="s">
        <v>1294</v>
      </c>
      <c r="C259" s="136" t="s">
        <v>1090</v>
      </c>
      <c r="D259" s="136" t="s">
        <v>905</v>
      </c>
      <c r="E259" s="137" t="s">
        <v>904</v>
      </c>
      <c r="F259" s="144">
        <v>22</v>
      </c>
      <c r="G259" s="147">
        <v>76.290000000000006</v>
      </c>
      <c r="H259" s="147">
        <v>98.27</v>
      </c>
      <c r="I259" s="277">
        <f t="shared" si="3"/>
        <v>2161.94</v>
      </c>
    </row>
    <row r="260" spans="1:9" ht="24" customHeight="1" x14ac:dyDescent="0.2">
      <c r="A260" s="166" t="s">
        <v>162</v>
      </c>
      <c r="B260" s="133" t="s">
        <v>1071</v>
      </c>
      <c r="C260" s="133"/>
      <c r="D260" s="133" t="s">
        <v>172</v>
      </c>
      <c r="E260" s="134"/>
      <c r="F260" s="143">
        <v>1</v>
      </c>
      <c r="G260" s="146" t="s">
        <v>1072</v>
      </c>
      <c r="H260" s="146">
        <v>1739679.35</v>
      </c>
      <c r="I260" s="276">
        <f>I261+I283+I291+I309+I316+I326+I340+I350+I354+I377+I383+I390</f>
        <v>1700689.1400000004</v>
      </c>
    </row>
    <row r="261" spans="1:9" ht="24" customHeight="1" x14ac:dyDescent="0.2">
      <c r="A261" s="166" t="s">
        <v>554</v>
      </c>
      <c r="B261" s="133" t="s">
        <v>1071</v>
      </c>
      <c r="C261" s="133"/>
      <c r="D261" s="133" t="s">
        <v>25</v>
      </c>
      <c r="E261" s="134"/>
      <c r="F261" s="143">
        <v>1</v>
      </c>
      <c r="G261" s="146" t="s">
        <v>1072</v>
      </c>
      <c r="H261" s="146">
        <v>75210.73</v>
      </c>
      <c r="I261" s="276">
        <f>SUM(I262:I282)</f>
        <v>75210.73</v>
      </c>
    </row>
    <row r="262" spans="1:9" ht="24" customHeight="1" x14ac:dyDescent="0.2">
      <c r="A262" s="169" t="s">
        <v>555</v>
      </c>
      <c r="B262" s="136" t="s">
        <v>1316</v>
      </c>
      <c r="C262" s="136" t="s">
        <v>1090</v>
      </c>
      <c r="D262" s="136" t="s">
        <v>556</v>
      </c>
      <c r="E262" s="137" t="s">
        <v>13</v>
      </c>
      <c r="F262" s="144">
        <v>454.68</v>
      </c>
      <c r="G262" s="147">
        <v>4.66</v>
      </c>
      <c r="H262" s="147">
        <v>6</v>
      </c>
      <c r="I262" s="277">
        <f t="shared" si="3"/>
        <v>2728.08</v>
      </c>
    </row>
    <row r="263" spans="1:9" ht="39" customHeight="1" x14ac:dyDescent="0.2">
      <c r="A263" s="169" t="s">
        <v>557</v>
      </c>
      <c r="B263" s="136" t="s">
        <v>1190</v>
      </c>
      <c r="C263" s="136" t="s">
        <v>1075</v>
      </c>
      <c r="D263" s="136" t="s">
        <v>112</v>
      </c>
      <c r="E263" s="137" t="s">
        <v>19</v>
      </c>
      <c r="F263" s="144">
        <v>24.33</v>
      </c>
      <c r="G263" s="147">
        <v>104.5</v>
      </c>
      <c r="H263" s="147">
        <v>134.61000000000001</v>
      </c>
      <c r="I263" s="277">
        <f t="shared" si="3"/>
        <v>3275.06</v>
      </c>
    </row>
    <row r="264" spans="1:9" ht="26.1" customHeight="1" x14ac:dyDescent="0.2">
      <c r="A264" s="169" t="s">
        <v>558</v>
      </c>
      <c r="B264" s="136" t="s">
        <v>1195</v>
      </c>
      <c r="C264" s="136" t="s">
        <v>1090</v>
      </c>
      <c r="D264" s="136" t="s">
        <v>118</v>
      </c>
      <c r="E264" s="137" t="s">
        <v>13</v>
      </c>
      <c r="F264" s="144">
        <v>2539.9</v>
      </c>
      <c r="G264" s="147">
        <v>11.82</v>
      </c>
      <c r="H264" s="147">
        <v>15.22</v>
      </c>
      <c r="I264" s="277">
        <f t="shared" ref="I264:I325" si="4">TRUNC(F264*H264,2)</f>
        <v>38657.269999999997</v>
      </c>
    </row>
    <row r="265" spans="1:9" ht="24" customHeight="1" x14ac:dyDescent="0.2">
      <c r="A265" s="169" t="s">
        <v>559</v>
      </c>
      <c r="B265" s="136" t="s">
        <v>1317</v>
      </c>
      <c r="C265" s="136" t="s">
        <v>1090</v>
      </c>
      <c r="D265" s="136" t="s">
        <v>560</v>
      </c>
      <c r="E265" s="137" t="s">
        <v>10</v>
      </c>
      <c r="F265" s="144">
        <v>99</v>
      </c>
      <c r="G265" s="147">
        <v>46.65</v>
      </c>
      <c r="H265" s="147">
        <v>60.09</v>
      </c>
      <c r="I265" s="277">
        <f t="shared" si="4"/>
        <v>5948.91</v>
      </c>
    </row>
    <row r="266" spans="1:9" ht="24" customHeight="1" x14ac:dyDescent="0.2">
      <c r="A266" s="169" t="s">
        <v>561</v>
      </c>
      <c r="B266" s="136" t="s">
        <v>1318</v>
      </c>
      <c r="C266" s="136" t="s">
        <v>1090</v>
      </c>
      <c r="D266" s="136" t="s">
        <v>562</v>
      </c>
      <c r="E266" s="137" t="s">
        <v>13</v>
      </c>
      <c r="F266" s="144">
        <v>106.72</v>
      </c>
      <c r="G266" s="147">
        <v>30.28</v>
      </c>
      <c r="H266" s="147">
        <v>39</v>
      </c>
      <c r="I266" s="277">
        <f t="shared" si="4"/>
        <v>4162.08</v>
      </c>
    </row>
    <row r="267" spans="1:9" ht="24" customHeight="1" x14ac:dyDescent="0.2">
      <c r="A267" s="169" t="s">
        <v>563</v>
      </c>
      <c r="B267" s="136" t="s">
        <v>1319</v>
      </c>
      <c r="C267" s="136" t="s">
        <v>1090</v>
      </c>
      <c r="D267" s="136" t="s">
        <v>564</v>
      </c>
      <c r="E267" s="137" t="s">
        <v>10</v>
      </c>
      <c r="F267" s="144">
        <v>206.35</v>
      </c>
      <c r="G267" s="147">
        <v>7.46</v>
      </c>
      <c r="H267" s="147">
        <v>9.6</v>
      </c>
      <c r="I267" s="277">
        <f t="shared" si="4"/>
        <v>1980.96</v>
      </c>
    </row>
    <row r="268" spans="1:9" ht="26.1" customHeight="1" x14ac:dyDescent="0.2">
      <c r="A268" s="169" t="s">
        <v>565</v>
      </c>
      <c r="B268" s="136" t="s">
        <v>1320</v>
      </c>
      <c r="C268" s="136" t="s">
        <v>1090</v>
      </c>
      <c r="D268" s="136" t="s">
        <v>566</v>
      </c>
      <c r="E268" s="137" t="s">
        <v>19</v>
      </c>
      <c r="F268" s="144">
        <v>0.53</v>
      </c>
      <c r="G268" s="147">
        <v>99.52</v>
      </c>
      <c r="H268" s="147">
        <v>128.19999999999999</v>
      </c>
      <c r="I268" s="277">
        <f t="shared" si="4"/>
        <v>67.94</v>
      </c>
    </row>
    <row r="269" spans="1:9" ht="24" customHeight="1" x14ac:dyDescent="0.2">
      <c r="A269" s="169" t="s">
        <v>1321</v>
      </c>
      <c r="B269" s="136" t="s">
        <v>1322</v>
      </c>
      <c r="C269" s="136" t="s">
        <v>1090</v>
      </c>
      <c r="D269" s="136" t="s">
        <v>567</v>
      </c>
      <c r="E269" s="137" t="s">
        <v>13</v>
      </c>
      <c r="F269" s="144">
        <v>40.93</v>
      </c>
      <c r="G269" s="147">
        <v>45.08</v>
      </c>
      <c r="H269" s="147">
        <v>58.07</v>
      </c>
      <c r="I269" s="277">
        <f t="shared" si="4"/>
        <v>2376.8000000000002</v>
      </c>
    </row>
    <row r="270" spans="1:9" ht="26.1" customHeight="1" x14ac:dyDescent="0.2">
      <c r="A270" s="169" t="s">
        <v>1323</v>
      </c>
      <c r="B270" s="136" t="s">
        <v>1094</v>
      </c>
      <c r="C270" s="136" t="s">
        <v>1075</v>
      </c>
      <c r="D270" s="136" t="s">
        <v>113</v>
      </c>
      <c r="E270" s="137" t="s">
        <v>19</v>
      </c>
      <c r="F270" s="144">
        <v>36.200000000000003</v>
      </c>
      <c r="G270" s="147">
        <v>49.74</v>
      </c>
      <c r="H270" s="147">
        <v>64.069999999999993</v>
      </c>
      <c r="I270" s="277">
        <f t="shared" si="4"/>
        <v>2319.33</v>
      </c>
    </row>
    <row r="271" spans="1:9" ht="26.1" customHeight="1" x14ac:dyDescent="0.2">
      <c r="A271" s="169" t="s">
        <v>1324</v>
      </c>
      <c r="B271" s="136" t="s">
        <v>1100</v>
      </c>
      <c r="C271" s="136" t="s">
        <v>1075</v>
      </c>
      <c r="D271" s="136" t="s">
        <v>31</v>
      </c>
      <c r="E271" s="137" t="s">
        <v>13</v>
      </c>
      <c r="F271" s="144">
        <v>2.77</v>
      </c>
      <c r="G271" s="147">
        <v>8.42</v>
      </c>
      <c r="H271" s="147">
        <v>10.84</v>
      </c>
      <c r="I271" s="277">
        <f t="shared" si="4"/>
        <v>30.02</v>
      </c>
    </row>
    <row r="272" spans="1:9" ht="26.1" customHeight="1" x14ac:dyDescent="0.2">
      <c r="A272" s="169" t="s">
        <v>1325</v>
      </c>
      <c r="B272" s="136" t="s">
        <v>1326</v>
      </c>
      <c r="C272" s="136" t="s">
        <v>1075</v>
      </c>
      <c r="D272" s="136" t="s">
        <v>568</v>
      </c>
      <c r="E272" s="137" t="s">
        <v>13</v>
      </c>
      <c r="F272" s="144">
        <v>4.7</v>
      </c>
      <c r="G272" s="147">
        <v>21.75</v>
      </c>
      <c r="H272" s="147">
        <v>28.01</v>
      </c>
      <c r="I272" s="277">
        <f t="shared" si="4"/>
        <v>131.63999999999999</v>
      </c>
    </row>
    <row r="273" spans="1:9" ht="26.1" customHeight="1" x14ac:dyDescent="0.2">
      <c r="A273" s="169" t="s">
        <v>1327</v>
      </c>
      <c r="B273" s="136" t="s">
        <v>1197</v>
      </c>
      <c r="C273" s="136" t="s">
        <v>1075</v>
      </c>
      <c r="D273" s="136" t="s">
        <v>120</v>
      </c>
      <c r="E273" s="137" t="s">
        <v>13</v>
      </c>
      <c r="F273" s="144">
        <v>201.28</v>
      </c>
      <c r="G273" s="147">
        <v>33.78</v>
      </c>
      <c r="H273" s="147">
        <v>43.51</v>
      </c>
      <c r="I273" s="277">
        <f t="shared" si="4"/>
        <v>8757.69</v>
      </c>
    </row>
    <row r="274" spans="1:9" ht="24" customHeight="1" x14ac:dyDescent="0.2">
      <c r="A274" s="169" t="s">
        <v>1328</v>
      </c>
      <c r="B274" s="136" t="s">
        <v>1196</v>
      </c>
      <c r="C274" s="136" t="s">
        <v>1090</v>
      </c>
      <c r="D274" s="136" t="s">
        <v>119</v>
      </c>
      <c r="E274" s="137" t="s">
        <v>13</v>
      </c>
      <c r="F274" s="144">
        <v>74.819999999999993</v>
      </c>
      <c r="G274" s="147">
        <v>10.25</v>
      </c>
      <c r="H274" s="147">
        <v>13.2</v>
      </c>
      <c r="I274" s="277">
        <f t="shared" si="4"/>
        <v>987.62</v>
      </c>
    </row>
    <row r="275" spans="1:9" ht="26.1" customHeight="1" x14ac:dyDescent="0.2">
      <c r="A275" s="169" t="s">
        <v>1329</v>
      </c>
      <c r="B275" s="136" t="s">
        <v>1330</v>
      </c>
      <c r="C275" s="136" t="s">
        <v>1075</v>
      </c>
      <c r="D275" s="136" t="s">
        <v>569</v>
      </c>
      <c r="E275" s="137" t="s">
        <v>10</v>
      </c>
      <c r="F275" s="144">
        <v>19.920000000000002</v>
      </c>
      <c r="G275" s="147">
        <v>4.07</v>
      </c>
      <c r="H275" s="147">
        <v>5.24</v>
      </c>
      <c r="I275" s="277">
        <f t="shared" si="4"/>
        <v>104.38</v>
      </c>
    </row>
    <row r="276" spans="1:9" ht="24" customHeight="1" x14ac:dyDescent="0.2">
      <c r="A276" s="169" t="s">
        <v>1331</v>
      </c>
      <c r="B276" s="136" t="s">
        <v>1194</v>
      </c>
      <c r="C276" s="136" t="s">
        <v>1090</v>
      </c>
      <c r="D276" s="136" t="s">
        <v>117</v>
      </c>
      <c r="E276" s="137" t="s">
        <v>13</v>
      </c>
      <c r="F276" s="144">
        <v>19.78</v>
      </c>
      <c r="G276" s="147">
        <v>18.62</v>
      </c>
      <c r="H276" s="147">
        <v>23.98</v>
      </c>
      <c r="I276" s="277">
        <f t="shared" si="4"/>
        <v>474.32</v>
      </c>
    </row>
    <row r="277" spans="1:9" ht="26.1" customHeight="1" x14ac:dyDescent="0.2">
      <c r="A277" s="169" t="s">
        <v>1332</v>
      </c>
      <c r="B277" s="136" t="s">
        <v>1102</v>
      </c>
      <c r="C277" s="136" t="s">
        <v>1075</v>
      </c>
      <c r="D277" s="136" t="s">
        <v>32</v>
      </c>
      <c r="E277" s="137" t="s">
        <v>33</v>
      </c>
      <c r="F277" s="144">
        <v>2</v>
      </c>
      <c r="G277" s="147">
        <v>11.46</v>
      </c>
      <c r="H277" s="147">
        <v>14.76</v>
      </c>
      <c r="I277" s="277">
        <f t="shared" si="4"/>
        <v>29.52</v>
      </c>
    </row>
    <row r="278" spans="1:9" ht="24" customHeight="1" x14ac:dyDescent="0.2">
      <c r="A278" s="169" t="s">
        <v>1333</v>
      </c>
      <c r="B278" s="136" t="s">
        <v>1193</v>
      </c>
      <c r="C278" s="136" t="s">
        <v>1090</v>
      </c>
      <c r="D278" s="136" t="s">
        <v>116</v>
      </c>
      <c r="E278" s="137" t="s">
        <v>10</v>
      </c>
      <c r="F278" s="144">
        <v>74.099999999999994</v>
      </c>
      <c r="G278" s="147">
        <v>19.14</v>
      </c>
      <c r="H278" s="147">
        <v>24.65</v>
      </c>
      <c r="I278" s="277">
        <f t="shared" si="4"/>
        <v>1826.56</v>
      </c>
    </row>
    <row r="279" spans="1:9" ht="24" customHeight="1" x14ac:dyDescent="0.2">
      <c r="A279" s="169" t="s">
        <v>1334</v>
      </c>
      <c r="B279" s="136" t="s">
        <v>1198</v>
      </c>
      <c r="C279" s="136" t="s">
        <v>1090</v>
      </c>
      <c r="D279" s="136" t="s">
        <v>121</v>
      </c>
      <c r="E279" s="137" t="s">
        <v>122</v>
      </c>
      <c r="F279" s="144">
        <v>24</v>
      </c>
      <c r="G279" s="147">
        <v>7.37</v>
      </c>
      <c r="H279" s="147">
        <v>9.49</v>
      </c>
      <c r="I279" s="277">
        <f t="shared" si="4"/>
        <v>227.76</v>
      </c>
    </row>
    <row r="280" spans="1:9" ht="26.1" customHeight="1" x14ac:dyDescent="0.2">
      <c r="A280" s="169" t="s">
        <v>1335</v>
      </c>
      <c r="B280" s="136" t="s">
        <v>1336</v>
      </c>
      <c r="C280" s="136" t="s">
        <v>1090</v>
      </c>
      <c r="D280" s="136" t="s">
        <v>767</v>
      </c>
      <c r="E280" s="137" t="s">
        <v>13</v>
      </c>
      <c r="F280" s="144">
        <v>43.71</v>
      </c>
      <c r="G280" s="147">
        <v>11.31</v>
      </c>
      <c r="H280" s="147">
        <v>14.56</v>
      </c>
      <c r="I280" s="277">
        <f t="shared" si="4"/>
        <v>636.41</v>
      </c>
    </row>
    <row r="281" spans="1:9" ht="24" customHeight="1" x14ac:dyDescent="0.2">
      <c r="A281" s="169" t="s">
        <v>1337</v>
      </c>
      <c r="B281" s="136" t="s">
        <v>1107</v>
      </c>
      <c r="C281" s="136" t="s">
        <v>1090</v>
      </c>
      <c r="D281" s="136" t="s">
        <v>38</v>
      </c>
      <c r="E281" s="137" t="s">
        <v>13</v>
      </c>
      <c r="F281" s="144">
        <v>0.68</v>
      </c>
      <c r="G281" s="147">
        <v>22.37</v>
      </c>
      <c r="H281" s="147">
        <v>28.81</v>
      </c>
      <c r="I281" s="277">
        <f t="shared" si="4"/>
        <v>19.59</v>
      </c>
    </row>
    <row r="282" spans="1:9" ht="26.1" customHeight="1" x14ac:dyDescent="0.2">
      <c r="A282" s="169" t="s">
        <v>1338</v>
      </c>
      <c r="B282" s="136" t="s">
        <v>1339</v>
      </c>
      <c r="C282" s="136" t="s">
        <v>1075</v>
      </c>
      <c r="D282" s="136" t="s">
        <v>777</v>
      </c>
      <c r="E282" s="137" t="s">
        <v>13</v>
      </c>
      <c r="F282" s="144">
        <v>18.100000000000001</v>
      </c>
      <c r="G282" s="147">
        <v>20.11</v>
      </c>
      <c r="H282" s="147">
        <v>25.9</v>
      </c>
      <c r="I282" s="277">
        <f t="shared" si="4"/>
        <v>468.79</v>
      </c>
    </row>
    <row r="283" spans="1:9" ht="24" customHeight="1" x14ac:dyDescent="0.2">
      <c r="A283" s="166" t="s">
        <v>570</v>
      </c>
      <c r="B283" s="133" t="s">
        <v>1071</v>
      </c>
      <c r="C283" s="133"/>
      <c r="D283" s="133" t="s">
        <v>124</v>
      </c>
      <c r="E283" s="134"/>
      <c r="F283" s="143">
        <v>1</v>
      </c>
      <c r="G283" s="146" t="s">
        <v>1072</v>
      </c>
      <c r="H283" s="146">
        <v>10844.55</v>
      </c>
      <c r="I283" s="276">
        <f>I284+I289</f>
        <v>10844.55</v>
      </c>
    </row>
    <row r="284" spans="1:9" ht="24" customHeight="1" x14ac:dyDescent="0.2">
      <c r="A284" s="166" t="s">
        <v>571</v>
      </c>
      <c r="B284" s="133" t="s">
        <v>1071</v>
      </c>
      <c r="C284" s="133"/>
      <c r="D284" s="133" t="s">
        <v>362</v>
      </c>
      <c r="E284" s="134"/>
      <c r="F284" s="143">
        <v>1</v>
      </c>
      <c r="G284" s="146" t="s">
        <v>1072</v>
      </c>
      <c r="H284" s="146">
        <v>9191.43</v>
      </c>
      <c r="I284" s="276">
        <f>SUM(I285:I288)</f>
        <v>9191.43</v>
      </c>
    </row>
    <row r="285" spans="1:9" ht="39" customHeight="1" x14ac:dyDescent="0.2">
      <c r="A285" s="169" t="s">
        <v>572</v>
      </c>
      <c r="B285" s="136" t="s">
        <v>1340</v>
      </c>
      <c r="C285" s="136" t="s">
        <v>1075</v>
      </c>
      <c r="D285" s="136" t="s">
        <v>573</v>
      </c>
      <c r="E285" s="137" t="s">
        <v>10</v>
      </c>
      <c r="F285" s="144">
        <v>12</v>
      </c>
      <c r="G285" s="147">
        <v>116.62</v>
      </c>
      <c r="H285" s="147">
        <v>150.22</v>
      </c>
      <c r="I285" s="277">
        <f t="shared" si="4"/>
        <v>1802.64</v>
      </c>
    </row>
    <row r="286" spans="1:9" ht="24" customHeight="1" x14ac:dyDescent="0.2">
      <c r="A286" s="169" t="s">
        <v>1341</v>
      </c>
      <c r="B286" s="136" t="s">
        <v>1201</v>
      </c>
      <c r="C286" s="136" t="s">
        <v>1090</v>
      </c>
      <c r="D286" s="136" t="s">
        <v>384</v>
      </c>
      <c r="E286" s="137" t="s">
        <v>33</v>
      </c>
      <c r="F286" s="144">
        <v>94</v>
      </c>
      <c r="G286" s="147">
        <v>40.03</v>
      </c>
      <c r="H286" s="147">
        <v>51.56</v>
      </c>
      <c r="I286" s="277">
        <f t="shared" si="4"/>
        <v>4846.6400000000003</v>
      </c>
    </row>
    <row r="287" spans="1:9" ht="26.1" customHeight="1" x14ac:dyDescent="0.2">
      <c r="A287" s="169" t="s">
        <v>1342</v>
      </c>
      <c r="B287" s="136" t="s">
        <v>1202</v>
      </c>
      <c r="C287" s="136" t="s">
        <v>1075</v>
      </c>
      <c r="D287" s="136" t="s">
        <v>385</v>
      </c>
      <c r="E287" s="137" t="s">
        <v>386</v>
      </c>
      <c r="F287" s="144">
        <v>100.8</v>
      </c>
      <c r="G287" s="147">
        <v>16.18</v>
      </c>
      <c r="H287" s="147">
        <v>20.84</v>
      </c>
      <c r="I287" s="277">
        <f t="shared" si="4"/>
        <v>2100.67</v>
      </c>
    </row>
    <row r="288" spans="1:9" ht="26.1" customHeight="1" x14ac:dyDescent="0.2">
      <c r="A288" s="169" t="s">
        <v>1343</v>
      </c>
      <c r="B288" s="136" t="s">
        <v>1203</v>
      </c>
      <c r="C288" s="136" t="s">
        <v>1090</v>
      </c>
      <c r="D288" s="136" t="s">
        <v>387</v>
      </c>
      <c r="E288" s="137" t="s">
        <v>13</v>
      </c>
      <c r="F288" s="144">
        <v>0.36</v>
      </c>
      <c r="G288" s="147">
        <v>952</v>
      </c>
      <c r="H288" s="147">
        <v>1226.3599999999999</v>
      </c>
      <c r="I288" s="277">
        <f t="shared" si="4"/>
        <v>441.48</v>
      </c>
    </row>
    <row r="289" spans="1:9" ht="24" customHeight="1" x14ac:dyDescent="0.2">
      <c r="A289" s="166" t="s">
        <v>574</v>
      </c>
      <c r="B289" s="133" t="s">
        <v>1071</v>
      </c>
      <c r="C289" s="133"/>
      <c r="D289" s="133" t="s">
        <v>768</v>
      </c>
      <c r="E289" s="134"/>
      <c r="F289" s="143">
        <v>1</v>
      </c>
      <c r="G289" s="146" t="s">
        <v>1072</v>
      </c>
      <c r="H289" s="146">
        <v>1653.12</v>
      </c>
      <c r="I289" s="276">
        <f>I290</f>
        <v>1653.12</v>
      </c>
    </row>
    <row r="290" spans="1:9" ht="39" customHeight="1" x14ac:dyDescent="0.2">
      <c r="A290" s="169" t="s">
        <v>575</v>
      </c>
      <c r="B290" s="136" t="s">
        <v>1344</v>
      </c>
      <c r="C290" s="136" t="s">
        <v>1075</v>
      </c>
      <c r="D290" s="136" t="s">
        <v>576</v>
      </c>
      <c r="E290" s="137" t="s">
        <v>10</v>
      </c>
      <c r="F290" s="144">
        <v>21</v>
      </c>
      <c r="G290" s="147">
        <v>61.11</v>
      </c>
      <c r="H290" s="147">
        <v>78.72</v>
      </c>
      <c r="I290" s="277">
        <f t="shared" si="4"/>
        <v>1653.12</v>
      </c>
    </row>
    <row r="291" spans="1:9" ht="24" customHeight="1" x14ac:dyDescent="0.2">
      <c r="A291" s="166" t="s">
        <v>577</v>
      </c>
      <c r="B291" s="133" t="s">
        <v>1071</v>
      </c>
      <c r="C291" s="133"/>
      <c r="D291" s="133" t="s">
        <v>126</v>
      </c>
      <c r="E291" s="134"/>
      <c r="F291" s="143">
        <v>1</v>
      </c>
      <c r="G291" s="146" t="s">
        <v>1072</v>
      </c>
      <c r="H291" s="146">
        <v>217975.12</v>
      </c>
      <c r="I291" s="276">
        <f>I292+I298+I306</f>
        <v>217975.12</v>
      </c>
    </row>
    <row r="292" spans="1:9" ht="24" customHeight="1" x14ac:dyDescent="0.2">
      <c r="A292" s="166" t="s">
        <v>578</v>
      </c>
      <c r="B292" s="133" t="s">
        <v>1071</v>
      </c>
      <c r="C292" s="133"/>
      <c r="D292" s="133" t="s">
        <v>362</v>
      </c>
      <c r="E292" s="134"/>
      <c r="F292" s="143">
        <v>1</v>
      </c>
      <c r="G292" s="146" t="s">
        <v>1072</v>
      </c>
      <c r="H292" s="146">
        <v>90649.3</v>
      </c>
      <c r="I292" s="276">
        <f>SUM(I293:I297)</f>
        <v>90649.3</v>
      </c>
    </row>
    <row r="293" spans="1:9" ht="51.95" customHeight="1" x14ac:dyDescent="0.2">
      <c r="A293" s="169" t="s">
        <v>1345</v>
      </c>
      <c r="B293" s="136" t="s">
        <v>1209</v>
      </c>
      <c r="C293" s="136" t="s">
        <v>1075</v>
      </c>
      <c r="D293" s="136" t="s">
        <v>398</v>
      </c>
      <c r="E293" s="137" t="s">
        <v>386</v>
      </c>
      <c r="F293" s="144">
        <v>733.86</v>
      </c>
      <c r="G293" s="147">
        <v>15.34</v>
      </c>
      <c r="H293" s="147">
        <v>19.760000000000002</v>
      </c>
      <c r="I293" s="277">
        <f t="shared" si="4"/>
        <v>14501.07</v>
      </c>
    </row>
    <row r="294" spans="1:9" ht="51.95" customHeight="1" x14ac:dyDescent="0.2">
      <c r="A294" s="169" t="s">
        <v>1346</v>
      </c>
      <c r="B294" s="136" t="s">
        <v>1211</v>
      </c>
      <c r="C294" s="136" t="s">
        <v>1075</v>
      </c>
      <c r="D294" s="136" t="s">
        <v>421</v>
      </c>
      <c r="E294" s="137" t="s">
        <v>386</v>
      </c>
      <c r="F294" s="144">
        <v>149.76</v>
      </c>
      <c r="G294" s="147">
        <v>12.67</v>
      </c>
      <c r="H294" s="147">
        <v>16.32</v>
      </c>
      <c r="I294" s="277">
        <f t="shared" si="4"/>
        <v>2444.08</v>
      </c>
    </row>
    <row r="295" spans="1:9" ht="51.95" customHeight="1" x14ac:dyDescent="0.2">
      <c r="A295" s="169" t="s">
        <v>1347</v>
      </c>
      <c r="B295" s="136" t="s">
        <v>1213</v>
      </c>
      <c r="C295" s="136" t="s">
        <v>1075</v>
      </c>
      <c r="D295" s="136" t="s">
        <v>406</v>
      </c>
      <c r="E295" s="137" t="s">
        <v>386</v>
      </c>
      <c r="F295" s="144">
        <v>600.58000000000004</v>
      </c>
      <c r="G295" s="147">
        <v>10.47</v>
      </c>
      <c r="H295" s="147">
        <v>13.48</v>
      </c>
      <c r="I295" s="277">
        <f t="shared" si="4"/>
        <v>8095.81</v>
      </c>
    </row>
    <row r="296" spans="1:9" ht="26.1" customHeight="1" x14ac:dyDescent="0.2">
      <c r="A296" s="169" t="s">
        <v>1348</v>
      </c>
      <c r="B296" s="136" t="s">
        <v>1203</v>
      </c>
      <c r="C296" s="136" t="s">
        <v>1090</v>
      </c>
      <c r="D296" s="136" t="s">
        <v>387</v>
      </c>
      <c r="E296" s="137" t="s">
        <v>13</v>
      </c>
      <c r="F296" s="144">
        <v>0.55000000000000004</v>
      </c>
      <c r="G296" s="147">
        <v>952</v>
      </c>
      <c r="H296" s="147">
        <v>1226.3599999999999</v>
      </c>
      <c r="I296" s="277">
        <f t="shared" si="4"/>
        <v>674.49</v>
      </c>
    </row>
    <row r="297" spans="1:9" ht="26.1" customHeight="1" x14ac:dyDescent="0.2">
      <c r="A297" s="169" t="s">
        <v>1349</v>
      </c>
      <c r="B297" s="136" t="s">
        <v>1208</v>
      </c>
      <c r="C297" s="136" t="s">
        <v>1090</v>
      </c>
      <c r="D297" s="136" t="s">
        <v>397</v>
      </c>
      <c r="E297" s="137" t="s">
        <v>386</v>
      </c>
      <c r="F297" s="144">
        <v>4441.4399999999996</v>
      </c>
      <c r="G297" s="147">
        <v>11.35</v>
      </c>
      <c r="H297" s="147">
        <v>14.62</v>
      </c>
      <c r="I297" s="277">
        <f t="shared" si="4"/>
        <v>64933.85</v>
      </c>
    </row>
    <row r="298" spans="1:9" ht="24" customHeight="1" x14ac:dyDescent="0.2">
      <c r="A298" s="166" t="s">
        <v>579</v>
      </c>
      <c r="B298" s="133" t="s">
        <v>1071</v>
      </c>
      <c r="C298" s="133"/>
      <c r="D298" s="133" t="s">
        <v>768</v>
      </c>
      <c r="E298" s="134"/>
      <c r="F298" s="143">
        <v>1</v>
      </c>
      <c r="G298" s="146" t="s">
        <v>1072</v>
      </c>
      <c r="H298" s="146">
        <v>54213.86</v>
      </c>
      <c r="I298" s="276">
        <f>SUM(I299:I305)</f>
        <v>54213.86</v>
      </c>
    </row>
    <row r="299" spans="1:9" ht="26.1" customHeight="1" x14ac:dyDescent="0.2">
      <c r="A299" s="169" t="s">
        <v>1350</v>
      </c>
      <c r="B299" s="136" t="s">
        <v>1208</v>
      </c>
      <c r="C299" s="136" t="s">
        <v>1090</v>
      </c>
      <c r="D299" s="136" t="s">
        <v>397</v>
      </c>
      <c r="E299" s="137" t="s">
        <v>386</v>
      </c>
      <c r="F299" s="144">
        <v>22.8</v>
      </c>
      <c r="G299" s="147">
        <v>11.35</v>
      </c>
      <c r="H299" s="147">
        <v>14.62</v>
      </c>
      <c r="I299" s="277">
        <f t="shared" si="4"/>
        <v>333.33</v>
      </c>
    </row>
    <row r="300" spans="1:9" ht="39" customHeight="1" x14ac:dyDescent="0.2">
      <c r="A300" s="169" t="s">
        <v>1351</v>
      </c>
      <c r="B300" s="136" t="s">
        <v>1352</v>
      </c>
      <c r="C300" s="136" t="s">
        <v>1075</v>
      </c>
      <c r="D300" s="136" t="s">
        <v>580</v>
      </c>
      <c r="E300" s="137" t="s">
        <v>386</v>
      </c>
      <c r="F300" s="144">
        <v>82.4</v>
      </c>
      <c r="G300" s="147">
        <v>11.56</v>
      </c>
      <c r="H300" s="147">
        <v>14.89</v>
      </c>
      <c r="I300" s="277">
        <f t="shared" si="4"/>
        <v>1226.93</v>
      </c>
    </row>
    <row r="301" spans="1:9" ht="39" customHeight="1" x14ac:dyDescent="0.2">
      <c r="A301" s="169" t="s">
        <v>1353</v>
      </c>
      <c r="B301" s="136" t="s">
        <v>1302</v>
      </c>
      <c r="C301" s="136" t="s">
        <v>1075</v>
      </c>
      <c r="D301" s="136" t="s">
        <v>499</v>
      </c>
      <c r="E301" s="137" t="s">
        <v>386</v>
      </c>
      <c r="F301" s="144">
        <v>80.400000000000006</v>
      </c>
      <c r="G301" s="147">
        <v>14.14</v>
      </c>
      <c r="H301" s="147">
        <v>18.21</v>
      </c>
      <c r="I301" s="277">
        <f t="shared" si="4"/>
        <v>1464.08</v>
      </c>
    </row>
    <row r="302" spans="1:9" ht="39" customHeight="1" x14ac:dyDescent="0.2">
      <c r="A302" s="169" t="s">
        <v>1354</v>
      </c>
      <c r="B302" s="136" t="s">
        <v>1301</v>
      </c>
      <c r="C302" s="136" t="s">
        <v>1075</v>
      </c>
      <c r="D302" s="136" t="s">
        <v>497</v>
      </c>
      <c r="E302" s="137" t="s">
        <v>386</v>
      </c>
      <c r="F302" s="144">
        <v>100.1</v>
      </c>
      <c r="G302" s="147">
        <v>12.87</v>
      </c>
      <c r="H302" s="147">
        <v>16.57</v>
      </c>
      <c r="I302" s="277">
        <f t="shared" si="4"/>
        <v>1658.65</v>
      </c>
    </row>
    <row r="303" spans="1:9" ht="51.95" customHeight="1" x14ac:dyDescent="0.2">
      <c r="A303" s="169" t="s">
        <v>1355</v>
      </c>
      <c r="B303" s="136" t="s">
        <v>1299</v>
      </c>
      <c r="C303" s="136" t="s">
        <v>1075</v>
      </c>
      <c r="D303" s="136" t="s">
        <v>491</v>
      </c>
      <c r="E303" s="137" t="s">
        <v>13</v>
      </c>
      <c r="F303" s="144">
        <v>66.92</v>
      </c>
      <c r="G303" s="147">
        <v>94.22</v>
      </c>
      <c r="H303" s="147">
        <v>121.37</v>
      </c>
      <c r="I303" s="277">
        <f t="shared" si="4"/>
        <v>8122.08</v>
      </c>
    </row>
    <row r="304" spans="1:9" ht="39" customHeight="1" x14ac:dyDescent="0.2">
      <c r="A304" s="169" t="s">
        <v>1356</v>
      </c>
      <c r="B304" s="136" t="s">
        <v>1204</v>
      </c>
      <c r="C304" s="136" t="s">
        <v>1075</v>
      </c>
      <c r="D304" s="136" t="s">
        <v>388</v>
      </c>
      <c r="E304" s="137" t="s">
        <v>19</v>
      </c>
      <c r="F304" s="144">
        <v>3.89</v>
      </c>
      <c r="G304" s="147">
        <v>577.64</v>
      </c>
      <c r="H304" s="147">
        <v>744.11</v>
      </c>
      <c r="I304" s="277">
        <f t="shared" si="4"/>
        <v>2894.58</v>
      </c>
    </row>
    <row r="305" spans="1:9" ht="51.95" customHeight="1" x14ac:dyDescent="0.2">
      <c r="A305" s="169" t="s">
        <v>1357</v>
      </c>
      <c r="B305" s="136" t="s">
        <v>1209</v>
      </c>
      <c r="C305" s="136" t="s">
        <v>1075</v>
      </c>
      <c r="D305" s="136" t="s">
        <v>398</v>
      </c>
      <c r="E305" s="137" t="s">
        <v>386</v>
      </c>
      <c r="F305" s="144">
        <v>1949.1</v>
      </c>
      <c r="G305" s="147">
        <v>15.34</v>
      </c>
      <c r="H305" s="147">
        <v>19.760000000000002</v>
      </c>
      <c r="I305" s="277">
        <f t="shared" si="4"/>
        <v>38514.21</v>
      </c>
    </row>
    <row r="306" spans="1:9" ht="24" customHeight="1" x14ac:dyDescent="0.2">
      <c r="A306" s="166" t="s">
        <v>581</v>
      </c>
      <c r="B306" s="133" t="s">
        <v>1071</v>
      </c>
      <c r="C306" s="133"/>
      <c r="D306" s="133" t="s">
        <v>582</v>
      </c>
      <c r="E306" s="134"/>
      <c r="F306" s="143">
        <v>1</v>
      </c>
      <c r="G306" s="146" t="s">
        <v>1072</v>
      </c>
      <c r="H306" s="146">
        <v>73111.960000000006</v>
      </c>
      <c r="I306" s="276">
        <f>SUM(I307:I308)</f>
        <v>73111.959999999992</v>
      </c>
    </row>
    <row r="307" spans="1:9" ht="51.95" customHeight="1" x14ac:dyDescent="0.2">
      <c r="A307" s="169" t="s">
        <v>583</v>
      </c>
      <c r="B307" s="136" t="s">
        <v>1213</v>
      </c>
      <c r="C307" s="136" t="s">
        <v>1075</v>
      </c>
      <c r="D307" s="136" t="s">
        <v>406</v>
      </c>
      <c r="E307" s="137" t="s">
        <v>386</v>
      </c>
      <c r="F307" s="144">
        <v>2543.16</v>
      </c>
      <c r="G307" s="147">
        <v>10.47</v>
      </c>
      <c r="H307" s="147">
        <v>13.48</v>
      </c>
      <c r="I307" s="277">
        <f t="shared" si="4"/>
        <v>34281.79</v>
      </c>
    </row>
    <row r="308" spans="1:9" ht="51.95" customHeight="1" x14ac:dyDescent="0.2">
      <c r="A308" s="169" t="s">
        <v>584</v>
      </c>
      <c r="B308" s="136" t="s">
        <v>1209</v>
      </c>
      <c r="C308" s="136" t="s">
        <v>1075</v>
      </c>
      <c r="D308" s="136" t="s">
        <v>398</v>
      </c>
      <c r="E308" s="137" t="s">
        <v>386</v>
      </c>
      <c r="F308" s="144">
        <v>1965.09</v>
      </c>
      <c r="G308" s="147">
        <v>15.34</v>
      </c>
      <c r="H308" s="147">
        <v>19.760000000000002</v>
      </c>
      <c r="I308" s="277">
        <f t="shared" si="4"/>
        <v>38830.17</v>
      </c>
    </row>
    <row r="309" spans="1:9" ht="24" customHeight="1" x14ac:dyDescent="0.2">
      <c r="A309" s="166" t="s">
        <v>585</v>
      </c>
      <c r="B309" s="133" t="s">
        <v>1071</v>
      </c>
      <c r="C309" s="133"/>
      <c r="D309" s="133" t="s">
        <v>586</v>
      </c>
      <c r="E309" s="134"/>
      <c r="F309" s="143">
        <v>1</v>
      </c>
      <c r="G309" s="146" t="s">
        <v>1072</v>
      </c>
      <c r="H309" s="146">
        <v>275314.8</v>
      </c>
      <c r="I309" s="276">
        <f>SUM(I310:I315)</f>
        <v>224386.29</v>
      </c>
    </row>
    <row r="310" spans="1:9" ht="39" customHeight="1" x14ac:dyDescent="0.2">
      <c r="A310" s="169" t="s">
        <v>587</v>
      </c>
      <c r="B310" s="136" t="s">
        <v>1558</v>
      </c>
      <c r="C310" s="136" t="s">
        <v>1090</v>
      </c>
      <c r="D310" s="136" t="s">
        <v>1559</v>
      </c>
      <c r="E310" s="137" t="s">
        <v>13</v>
      </c>
      <c r="F310" s="144">
        <v>229.9</v>
      </c>
      <c r="G310" s="147">
        <v>224.43</v>
      </c>
      <c r="H310" s="147">
        <v>289.11</v>
      </c>
      <c r="I310" s="277">
        <f t="shared" si="4"/>
        <v>66466.38</v>
      </c>
    </row>
    <row r="311" spans="1:9" ht="30" customHeight="1" x14ac:dyDescent="0.2">
      <c r="A311" s="169" t="s">
        <v>1562</v>
      </c>
      <c r="B311" s="136" t="s">
        <v>1560</v>
      </c>
      <c r="C311" s="136" t="s">
        <v>1090</v>
      </c>
      <c r="D311" s="136" t="s">
        <v>1561</v>
      </c>
      <c r="E311" s="137" t="s">
        <v>122</v>
      </c>
      <c r="F311" s="144">
        <v>40.130000000000003</v>
      </c>
      <c r="G311" s="147">
        <v>162.71</v>
      </c>
      <c r="H311" s="147">
        <v>209.6</v>
      </c>
      <c r="I311" s="277">
        <f t="shared" si="4"/>
        <v>8411.24</v>
      </c>
    </row>
    <row r="312" spans="1:9" ht="26.1" customHeight="1" x14ac:dyDescent="0.2">
      <c r="A312" s="169" t="s">
        <v>589</v>
      </c>
      <c r="B312" s="136" t="s">
        <v>1217</v>
      </c>
      <c r="C312" s="136" t="s">
        <v>1075</v>
      </c>
      <c r="D312" s="136" t="s">
        <v>140</v>
      </c>
      <c r="E312" s="137" t="s">
        <v>10</v>
      </c>
      <c r="F312" s="144">
        <v>62.07</v>
      </c>
      <c r="G312" s="147">
        <v>49.32</v>
      </c>
      <c r="H312" s="147">
        <v>63.53</v>
      </c>
      <c r="I312" s="277">
        <f t="shared" si="4"/>
        <v>3943.3</v>
      </c>
    </row>
    <row r="313" spans="1:9" ht="24" customHeight="1" x14ac:dyDescent="0.2">
      <c r="A313" s="169" t="s">
        <v>590</v>
      </c>
      <c r="B313" s="136" t="s">
        <v>1222</v>
      </c>
      <c r="C313" s="136" t="s">
        <v>1090</v>
      </c>
      <c r="D313" s="136" t="s">
        <v>143</v>
      </c>
      <c r="E313" s="137" t="s">
        <v>10</v>
      </c>
      <c r="F313" s="144">
        <v>58.98</v>
      </c>
      <c r="G313" s="147">
        <v>94.28</v>
      </c>
      <c r="H313" s="147">
        <v>121.45</v>
      </c>
      <c r="I313" s="277">
        <f t="shared" si="4"/>
        <v>7163.12</v>
      </c>
    </row>
    <row r="314" spans="1:9" ht="26.1" customHeight="1" x14ac:dyDescent="0.2">
      <c r="A314" s="169" t="s">
        <v>591</v>
      </c>
      <c r="B314" s="136" t="s">
        <v>1358</v>
      </c>
      <c r="C314" s="136" t="s">
        <v>1090</v>
      </c>
      <c r="D314" s="136" t="s">
        <v>592</v>
      </c>
      <c r="E314" s="137" t="s">
        <v>13</v>
      </c>
      <c r="F314" s="144">
        <v>72.55</v>
      </c>
      <c r="G314" s="147">
        <v>806.34</v>
      </c>
      <c r="H314" s="147">
        <v>1038.72</v>
      </c>
      <c r="I314" s="277">
        <f t="shared" si="4"/>
        <v>75359.13</v>
      </c>
    </row>
    <row r="315" spans="1:9" ht="26.1" customHeight="1" x14ac:dyDescent="0.2">
      <c r="A315" s="169" t="s">
        <v>593</v>
      </c>
      <c r="B315" s="136" t="s">
        <v>1359</v>
      </c>
      <c r="C315" s="136" t="s">
        <v>1090</v>
      </c>
      <c r="D315" s="136" t="s">
        <v>594</v>
      </c>
      <c r="E315" s="137" t="s">
        <v>13</v>
      </c>
      <c r="F315" s="144">
        <v>73.56</v>
      </c>
      <c r="G315" s="147">
        <v>665.3</v>
      </c>
      <c r="H315" s="147">
        <v>857.03</v>
      </c>
      <c r="I315" s="277">
        <f t="shared" si="4"/>
        <v>63043.12</v>
      </c>
    </row>
    <row r="316" spans="1:9" ht="24" customHeight="1" x14ac:dyDescent="0.2">
      <c r="A316" s="166" t="s">
        <v>595</v>
      </c>
      <c r="B316" s="133" t="s">
        <v>1071</v>
      </c>
      <c r="C316" s="133"/>
      <c r="D316" s="133" t="s">
        <v>40</v>
      </c>
      <c r="E316" s="134"/>
      <c r="F316" s="143">
        <v>1</v>
      </c>
      <c r="G316" s="146" t="s">
        <v>1072</v>
      </c>
      <c r="H316" s="146">
        <v>58125.62</v>
      </c>
      <c r="I316" s="276">
        <f>I317+I320+I324</f>
        <v>58125.619999999995</v>
      </c>
    </row>
    <row r="317" spans="1:9" ht="24" customHeight="1" x14ac:dyDescent="0.2">
      <c r="A317" s="166" t="s">
        <v>596</v>
      </c>
      <c r="B317" s="133" t="s">
        <v>1071</v>
      </c>
      <c r="C317" s="133"/>
      <c r="D317" s="133" t="s">
        <v>597</v>
      </c>
      <c r="E317" s="134"/>
      <c r="F317" s="143">
        <v>1</v>
      </c>
      <c r="G317" s="146" t="s">
        <v>1072</v>
      </c>
      <c r="H317" s="146">
        <v>10466.56</v>
      </c>
      <c r="I317" s="276">
        <f>SUM(I318:I319)</f>
        <v>10466.56</v>
      </c>
    </row>
    <row r="318" spans="1:9" ht="39" customHeight="1" x14ac:dyDescent="0.2">
      <c r="A318" s="169" t="s">
        <v>598</v>
      </c>
      <c r="B318" s="136" t="s">
        <v>1360</v>
      </c>
      <c r="C318" s="136" t="s">
        <v>1075</v>
      </c>
      <c r="D318" s="136" t="s">
        <v>599</v>
      </c>
      <c r="E318" s="137" t="s">
        <v>13</v>
      </c>
      <c r="F318" s="144">
        <v>42.22</v>
      </c>
      <c r="G318" s="147">
        <v>162.94</v>
      </c>
      <c r="H318" s="147">
        <v>209.89</v>
      </c>
      <c r="I318" s="277">
        <f t="shared" si="4"/>
        <v>8861.5499999999993</v>
      </c>
    </row>
    <row r="319" spans="1:9" ht="39" customHeight="1" x14ac:dyDescent="0.2">
      <c r="A319" s="169" t="s">
        <v>600</v>
      </c>
      <c r="B319" s="136" t="s">
        <v>1125</v>
      </c>
      <c r="C319" s="136" t="s">
        <v>1075</v>
      </c>
      <c r="D319" s="136" t="s">
        <v>77</v>
      </c>
      <c r="E319" s="137" t="s">
        <v>13</v>
      </c>
      <c r="F319" s="144">
        <v>84.43</v>
      </c>
      <c r="G319" s="147">
        <v>14.76</v>
      </c>
      <c r="H319" s="147">
        <v>19.010000000000002</v>
      </c>
      <c r="I319" s="277">
        <f t="shared" si="4"/>
        <v>1605.01</v>
      </c>
    </row>
    <row r="320" spans="1:9" ht="24" customHeight="1" x14ac:dyDescent="0.2">
      <c r="A320" s="166" t="s">
        <v>601</v>
      </c>
      <c r="B320" s="133" t="s">
        <v>1071</v>
      </c>
      <c r="C320" s="133"/>
      <c r="D320" s="133" t="s">
        <v>602</v>
      </c>
      <c r="E320" s="134"/>
      <c r="F320" s="143">
        <v>1</v>
      </c>
      <c r="G320" s="146" t="s">
        <v>1072</v>
      </c>
      <c r="H320" s="146">
        <v>36856.97</v>
      </c>
      <c r="I320" s="276">
        <f>SUM(I321:I323)</f>
        <v>36856.969999999994</v>
      </c>
    </row>
    <row r="321" spans="1:9" ht="39" customHeight="1" x14ac:dyDescent="0.2">
      <c r="A321" s="169" t="s">
        <v>603</v>
      </c>
      <c r="B321" s="136" t="s">
        <v>1361</v>
      </c>
      <c r="C321" s="136" t="s">
        <v>1075</v>
      </c>
      <c r="D321" s="136" t="s">
        <v>604</v>
      </c>
      <c r="E321" s="137" t="s">
        <v>13</v>
      </c>
      <c r="F321" s="144">
        <v>4.79</v>
      </c>
      <c r="G321" s="147">
        <v>41.65</v>
      </c>
      <c r="H321" s="147">
        <v>53.65</v>
      </c>
      <c r="I321" s="277">
        <f t="shared" si="4"/>
        <v>256.98</v>
      </c>
    </row>
    <row r="322" spans="1:9" ht="24" customHeight="1" x14ac:dyDescent="0.2">
      <c r="A322" s="169" t="s">
        <v>605</v>
      </c>
      <c r="B322" s="136" t="s">
        <v>1362</v>
      </c>
      <c r="C322" s="136" t="s">
        <v>1090</v>
      </c>
      <c r="D322" s="136" t="s">
        <v>606</v>
      </c>
      <c r="E322" s="137" t="s">
        <v>19</v>
      </c>
      <c r="F322" s="144">
        <v>1.1200000000000001</v>
      </c>
      <c r="G322" s="147">
        <v>1914.51</v>
      </c>
      <c r="H322" s="147">
        <v>2466.27</v>
      </c>
      <c r="I322" s="277">
        <f t="shared" si="4"/>
        <v>2762.22</v>
      </c>
    </row>
    <row r="323" spans="1:9" ht="26.1" customHeight="1" x14ac:dyDescent="0.2">
      <c r="A323" s="169" t="s">
        <v>607</v>
      </c>
      <c r="B323" s="136" t="s">
        <v>1363</v>
      </c>
      <c r="C323" s="136" t="s">
        <v>1090</v>
      </c>
      <c r="D323" s="136" t="s">
        <v>608</v>
      </c>
      <c r="E323" s="137" t="s">
        <v>10</v>
      </c>
      <c r="F323" s="144">
        <v>75.459999999999994</v>
      </c>
      <c r="G323" s="147">
        <v>348.1</v>
      </c>
      <c r="H323" s="147">
        <v>448.42</v>
      </c>
      <c r="I323" s="277">
        <f t="shared" si="4"/>
        <v>33837.769999999997</v>
      </c>
    </row>
    <row r="324" spans="1:9" ht="24" customHeight="1" x14ac:dyDescent="0.2">
      <c r="A324" s="166" t="s">
        <v>609</v>
      </c>
      <c r="B324" s="133" t="s">
        <v>1071</v>
      </c>
      <c r="C324" s="133"/>
      <c r="D324" s="133" t="s">
        <v>610</v>
      </c>
      <c r="E324" s="134"/>
      <c r="F324" s="143">
        <v>1</v>
      </c>
      <c r="G324" s="146" t="s">
        <v>1072</v>
      </c>
      <c r="H324" s="146">
        <v>10802.09</v>
      </c>
      <c r="I324" s="276">
        <f>I325</f>
        <v>10802.09</v>
      </c>
    </row>
    <row r="325" spans="1:9" ht="24" customHeight="1" x14ac:dyDescent="0.2">
      <c r="A325" s="169" t="s">
        <v>611</v>
      </c>
      <c r="B325" s="136" t="s">
        <v>1364</v>
      </c>
      <c r="C325" s="136" t="s">
        <v>1090</v>
      </c>
      <c r="D325" s="136" t="s">
        <v>612</v>
      </c>
      <c r="E325" s="137" t="s">
        <v>13</v>
      </c>
      <c r="F325" s="144">
        <v>75.459999999999994</v>
      </c>
      <c r="G325" s="147">
        <v>111.13</v>
      </c>
      <c r="H325" s="147">
        <v>143.15</v>
      </c>
      <c r="I325" s="277">
        <f t="shared" si="4"/>
        <v>10802.09</v>
      </c>
    </row>
    <row r="326" spans="1:9" ht="24" customHeight="1" x14ac:dyDescent="0.2">
      <c r="A326" s="166" t="s">
        <v>613</v>
      </c>
      <c r="B326" s="133" t="s">
        <v>1071</v>
      </c>
      <c r="C326" s="133"/>
      <c r="D326" s="133" t="s">
        <v>43</v>
      </c>
      <c r="E326" s="134"/>
      <c r="F326" s="143">
        <v>1</v>
      </c>
      <c r="G326" s="146" t="s">
        <v>1072</v>
      </c>
      <c r="H326" s="146">
        <v>642519.66</v>
      </c>
      <c r="I326" s="276">
        <f>I327+I332+I335</f>
        <v>642519.66</v>
      </c>
    </row>
    <row r="327" spans="1:9" ht="24" customHeight="1" x14ac:dyDescent="0.2">
      <c r="A327" s="166" t="s">
        <v>614</v>
      </c>
      <c r="B327" s="133" t="s">
        <v>1071</v>
      </c>
      <c r="C327" s="133"/>
      <c r="D327" s="133" t="s">
        <v>55</v>
      </c>
      <c r="E327" s="134"/>
      <c r="F327" s="143">
        <v>1</v>
      </c>
      <c r="G327" s="146" t="s">
        <v>1072</v>
      </c>
      <c r="H327" s="146">
        <v>386374.62</v>
      </c>
      <c r="I327" s="276">
        <f>SUM(I328:I331)</f>
        <v>386374.62</v>
      </c>
    </row>
    <row r="328" spans="1:9" ht="39" customHeight="1" x14ac:dyDescent="0.2">
      <c r="A328" s="169" t="s">
        <v>615</v>
      </c>
      <c r="B328" s="136" t="s">
        <v>1365</v>
      </c>
      <c r="C328" s="136" t="s">
        <v>1075</v>
      </c>
      <c r="D328" s="136" t="s">
        <v>616</v>
      </c>
      <c r="E328" s="137" t="s">
        <v>13</v>
      </c>
      <c r="F328" s="144">
        <v>1338.64</v>
      </c>
      <c r="G328" s="147">
        <v>118.21</v>
      </c>
      <c r="H328" s="147">
        <v>152.27000000000001</v>
      </c>
      <c r="I328" s="277">
        <f t="shared" ref="I328:I391" si="5">TRUNC(F328*H328,2)</f>
        <v>203834.71</v>
      </c>
    </row>
    <row r="329" spans="1:9" ht="51.95" customHeight="1" x14ac:dyDescent="0.2">
      <c r="A329" s="169" t="s">
        <v>617</v>
      </c>
      <c r="B329" s="136" t="s">
        <v>1366</v>
      </c>
      <c r="C329" s="136" t="s">
        <v>1075</v>
      </c>
      <c r="D329" s="136" t="s">
        <v>618</v>
      </c>
      <c r="E329" s="137" t="s">
        <v>13</v>
      </c>
      <c r="F329" s="144">
        <v>256.24</v>
      </c>
      <c r="G329" s="147">
        <v>80.37</v>
      </c>
      <c r="H329" s="147">
        <v>103.53</v>
      </c>
      <c r="I329" s="277">
        <f t="shared" si="5"/>
        <v>26528.52</v>
      </c>
    </row>
    <row r="330" spans="1:9" ht="24" customHeight="1" x14ac:dyDescent="0.2">
      <c r="A330" s="169" t="s">
        <v>619</v>
      </c>
      <c r="B330" s="136" t="s">
        <v>1367</v>
      </c>
      <c r="C330" s="136" t="s">
        <v>1090</v>
      </c>
      <c r="D330" s="136" t="s">
        <v>620</v>
      </c>
      <c r="E330" s="137" t="s">
        <v>13</v>
      </c>
      <c r="F330" s="144">
        <v>74.650000000000006</v>
      </c>
      <c r="G330" s="147">
        <v>564.29</v>
      </c>
      <c r="H330" s="147">
        <v>726.91</v>
      </c>
      <c r="I330" s="277">
        <f t="shared" si="5"/>
        <v>54263.83</v>
      </c>
    </row>
    <row r="331" spans="1:9" ht="26.1" customHeight="1" x14ac:dyDescent="0.2">
      <c r="A331" s="169" t="s">
        <v>621</v>
      </c>
      <c r="B331" s="136" t="s">
        <v>1226</v>
      </c>
      <c r="C331" s="136" t="s">
        <v>1090</v>
      </c>
      <c r="D331" s="136" t="s">
        <v>150</v>
      </c>
      <c r="E331" s="137" t="s">
        <v>13</v>
      </c>
      <c r="F331" s="144">
        <v>1033.18</v>
      </c>
      <c r="G331" s="147">
        <v>76.45</v>
      </c>
      <c r="H331" s="147">
        <v>98.48</v>
      </c>
      <c r="I331" s="277">
        <f t="shared" si="5"/>
        <v>101747.56</v>
      </c>
    </row>
    <row r="332" spans="1:9" ht="24" customHeight="1" x14ac:dyDescent="0.2">
      <c r="A332" s="166" t="s">
        <v>622</v>
      </c>
      <c r="B332" s="133" t="s">
        <v>1071</v>
      </c>
      <c r="C332" s="133"/>
      <c r="D332" s="133" t="s">
        <v>45</v>
      </c>
      <c r="E332" s="134"/>
      <c r="F332" s="143">
        <v>1</v>
      </c>
      <c r="G332" s="146" t="s">
        <v>1072</v>
      </c>
      <c r="H332" s="146">
        <v>214408.18</v>
      </c>
      <c r="I332" s="276">
        <f>SUM(I333:I334)</f>
        <v>214408.18</v>
      </c>
    </row>
    <row r="333" spans="1:9" ht="26.1" customHeight="1" x14ac:dyDescent="0.2">
      <c r="A333" s="169" t="s">
        <v>623</v>
      </c>
      <c r="B333" s="136" t="s">
        <v>1368</v>
      </c>
      <c r="C333" s="136" t="s">
        <v>1090</v>
      </c>
      <c r="D333" s="136" t="s">
        <v>624</v>
      </c>
      <c r="E333" s="137" t="s">
        <v>13</v>
      </c>
      <c r="F333" s="144">
        <v>30.88</v>
      </c>
      <c r="G333" s="147">
        <v>909</v>
      </c>
      <c r="H333" s="147">
        <v>1170.97</v>
      </c>
      <c r="I333" s="277">
        <f t="shared" si="5"/>
        <v>36159.550000000003</v>
      </c>
    </row>
    <row r="334" spans="1:9" ht="26.1" customHeight="1" x14ac:dyDescent="0.2">
      <c r="A334" s="169" t="s">
        <v>625</v>
      </c>
      <c r="B334" s="136" t="s">
        <v>1369</v>
      </c>
      <c r="C334" s="136" t="s">
        <v>1090</v>
      </c>
      <c r="D334" s="136" t="s">
        <v>626</v>
      </c>
      <c r="E334" s="137" t="s">
        <v>13</v>
      </c>
      <c r="F334" s="144">
        <v>110.71</v>
      </c>
      <c r="G334" s="147">
        <v>1249.8499999999999</v>
      </c>
      <c r="H334" s="147">
        <v>1610.05</v>
      </c>
      <c r="I334" s="277">
        <f t="shared" si="5"/>
        <v>178248.63</v>
      </c>
    </row>
    <row r="335" spans="1:9" ht="24" customHeight="1" x14ac:dyDescent="0.2">
      <c r="A335" s="166" t="s">
        <v>627</v>
      </c>
      <c r="B335" s="133" t="s">
        <v>1071</v>
      </c>
      <c r="C335" s="133"/>
      <c r="D335" s="133" t="s">
        <v>67</v>
      </c>
      <c r="E335" s="134"/>
      <c r="F335" s="143">
        <v>1</v>
      </c>
      <c r="G335" s="146" t="s">
        <v>1072</v>
      </c>
      <c r="H335" s="146">
        <v>41736.86</v>
      </c>
      <c r="I335" s="276">
        <f>SUM(I336:I339)</f>
        <v>41736.86</v>
      </c>
    </row>
    <row r="336" spans="1:9" ht="24" customHeight="1" x14ac:dyDescent="0.2">
      <c r="A336" s="169" t="s">
        <v>628</v>
      </c>
      <c r="B336" s="136" t="s">
        <v>1370</v>
      </c>
      <c r="C336" s="136" t="s">
        <v>1090</v>
      </c>
      <c r="D336" s="136" t="s">
        <v>629</v>
      </c>
      <c r="E336" s="137" t="s">
        <v>13</v>
      </c>
      <c r="F336" s="144">
        <v>269.74</v>
      </c>
      <c r="G336" s="147">
        <v>66.760000000000005</v>
      </c>
      <c r="H336" s="147">
        <v>86</v>
      </c>
      <c r="I336" s="277">
        <f t="shared" si="5"/>
        <v>23197.64</v>
      </c>
    </row>
    <row r="337" spans="1:9" ht="26.1" customHeight="1" x14ac:dyDescent="0.2">
      <c r="A337" s="169" t="s">
        <v>630</v>
      </c>
      <c r="B337" s="136" t="s">
        <v>1371</v>
      </c>
      <c r="C337" s="136" t="s">
        <v>1075</v>
      </c>
      <c r="D337" s="136" t="s">
        <v>631</v>
      </c>
      <c r="E337" s="137" t="s">
        <v>13</v>
      </c>
      <c r="F337" s="144">
        <v>269.74</v>
      </c>
      <c r="G337" s="147">
        <v>4.33</v>
      </c>
      <c r="H337" s="147">
        <v>5.57</v>
      </c>
      <c r="I337" s="277">
        <f t="shared" si="5"/>
        <v>1502.45</v>
      </c>
    </row>
    <row r="338" spans="1:9" ht="26.1" customHeight="1" x14ac:dyDescent="0.2">
      <c r="A338" s="169" t="s">
        <v>632</v>
      </c>
      <c r="B338" s="136" t="s">
        <v>1372</v>
      </c>
      <c r="C338" s="136" t="s">
        <v>1075</v>
      </c>
      <c r="D338" s="136" t="s">
        <v>633</v>
      </c>
      <c r="E338" s="137" t="s">
        <v>13</v>
      </c>
      <c r="F338" s="144">
        <v>269.74</v>
      </c>
      <c r="G338" s="147">
        <v>32.65</v>
      </c>
      <c r="H338" s="147">
        <v>42.05</v>
      </c>
      <c r="I338" s="277">
        <f t="shared" si="5"/>
        <v>11342.56</v>
      </c>
    </row>
    <row r="339" spans="1:9" ht="26.1" customHeight="1" x14ac:dyDescent="0.2">
      <c r="A339" s="169" t="s">
        <v>634</v>
      </c>
      <c r="B339" s="136" t="s">
        <v>1373</v>
      </c>
      <c r="C339" s="136" t="s">
        <v>1075</v>
      </c>
      <c r="D339" s="136" t="s">
        <v>635</v>
      </c>
      <c r="E339" s="137" t="s">
        <v>13</v>
      </c>
      <c r="F339" s="144">
        <v>269.74</v>
      </c>
      <c r="G339" s="147">
        <v>16.39</v>
      </c>
      <c r="H339" s="147">
        <v>21.11</v>
      </c>
      <c r="I339" s="277">
        <f t="shared" si="5"/>
        <v>5694.21</v>
      </c>
    </row>
    <row r="340" spans="1:9" ht="24" customHeight="1" x14ac:dyDescent="0.2">
      <c r="A340" s="166" t="s">
        <v>636</v>
      </c>
      <c r="B340" s="133" t="s">
        <v>1071</v>
      </c>
      <c r="C340" s="133"/>
      <c r="D340" s="133" t="s">
        <v>71</v>
      </c>
      <c r="E340" s="134"/>
      <c r="F340" s="143">
        <v>1</v>
      </c>
      <c r="G340" s="146" t="s">
        <v>1072</v>
      </c>
      <c r="H340" s="146">
        <v>25064.959999999999</v>
      </c>
      <c r="I340" s="276">
        <f>I341+I344+I347</f>
        <v>25064.959999999995</v>
      </c>
    </row>
    <row r="341" spans="1:9" ht="24" customHeight="1" x14ac:dyDescent="0.2">
      <c r="A341" s="166" t="s">
        <v>637</v>
      </c>
      <c r="B341" s="133" t="s">
        <v>1071</v>
      </c>
      <c r="C341" s="133"/>
      <c r="D341" s="133" t="s">
        <v>638</v>
      </c>
      <c r="E341" s="134"/>
      <c r="F341" s="143">
        <v>1</v>
      </c>
      <c r="G341" s="146" t="s">
        <v>1072</v>
      </c>
      <c r="H341" s="146">
        <v>20917.27</v>
      </c>
      <c r="I341" s="276">
        <f>SUM(I342:I343)</f>
        <v>20917.269999999997</v>
      </c>
    </row>
    <row r="342" spans="1:9" ht="26.1" customHeight="1" x14ac:dyDescent="0.2">
      <c r="A342" s="169" t="s">
        <v>639</v>
      </c>
      <c r="B342" s="136" t="s">
        <v>1230</v>
      </c>
      <c r="C342" s="136" t="s">
        <v>1075</v>
      </c>
      <c r="D342" s="136" t="s">
        <v>159</v>
      </c>
      <c r="E342" s="137" t="s">
        <v>13</v>
      </c>
      <c r="F342" s="144">
        <v>264.12</v>
      </c>
      <c r="G342" s="147">
        <v>10.06</v>
      </c>
      <c r="H342" s="147">
        <v>12.95</v>
      </c>
      <c r="I342" s="277">
        <f t="shared" si="5"/>
        <v>3420.35</v>
      </c>
    </row>
    <row r="343" spans="1:9" ht="51.95" customHeight="1" x14ac:dyDescent="0.2">
      <c r="A343" s="169" t="s">
        <v>640</v>
      </c>
      <c r="B343" s="136" t="s">
        <v>1229</v>
      </c>
      <c r="C343" s="136" t="s">
        <v>1090</v>
      </c>
      <c r="D343" s="136" t="s">
        <v>158</v>
      </c>
      <c r="E343" s="137" t="s">
        <v>13</v>
      </c>
      <c r="F343" s="144">
        <v>570.49</v>
      </c>
      <c r="G343" s="147">
        <v>23.81</v>
      </c>
      <c r="H343" s="147">
        <v>30.67</v>
      </c>
      <c r="I343" s="277">
        <f t="shared" si="5"/>
        <v>17496.919999999998</v>
      </c>
    </row>
    <row r="344" spans="1:9" ht="24" customHeight="1" x14ac:dyDescent="0.2">
      <c r="A344" s="166" t="s">
        <v>641</v>
      </c>
      <c r="B344" s="133" t="s">
        <v>1071</v>
      </c>
      <c r="C344" s="133"/>
      <c r="D344" s="133" t="s">
        <v>642</v>
      </c>
      <c r="E344" s="134"/>
      <c r="F344" s="143">
        <v>1</v>
      </c>
      <c r="G344" s="146" t="s">
        <v>1072</v>
      </c>
      <c r="H344" s="146">
        <v>2543.5300000000002</v>
      </c>
      <c r="I344" s="276">
        <f>SUM(I345:I346)</f>
        <v>2543.5300000000002</v>
      </c>
    </row>
    <row r="345" spans="1:9" ht="26.1" customHeight="1" x14ac:dyDescent="0.2">
      <c r="A345" s="169" t="s">
        <v>643</v>
      </c>
      <c r="B345" s="136" t="s">
        <v>1123</v>
      </c>
      <c r="C345" s="136" t="s">
        <v>1075</v>
      </c>
      <c r="D345" s="136" t="s">
        <v>73</v>
      </c>
      <c r="E345" s="137" t="s">
        <v>13</v>
      </c>
      <c r="F345" s="144">
        <v>104.03</v>
      </c>
      <c r="G345" s="147">
        <v>3.43</v>
      </c>
      <c r="H345" s="147">
        <v>4.41</v>
      </c>
      <c r="I345" s="277">
        <f t="shared" si="5"/>
        <v>458.77</v>
      </c>
    </row>
    <row r="346" spans="1:9" ht="26.1" customHeight="1" x14ac:dyDescent="0.2">
      <c r="A346" s="169" t="s">
        <v>644</v>
      </c>
      <c r="B346" s="136" t="s">
        <v>1228</v>
      </c>
      <c r="C346" s="136" t="s">
        <v>1075</v>
      </c>
      <c r="D346" s="136" t="s">
        <v>156</v>
      </c>
      <c r="E346" s="137" t="s">
        <v>13</v>
      </c>
      <c r="F346" s="144">
        <v>104.03</v>
      </c>
      <c r="G346" s="147">
        <v>15.56</v>
      </c>
      <c r="H346" s="147">
        <v>20.04</v>
      </c>
      <c r="I346" s="277">
        <f t="shared" si="5"/>
        <v>2084.7600000000002</v>
      </c>
    </row>
    <row r="347" spans="1:9" ht="24" customHeight="1" x14ac:dyDescent="0.2">
      <c r="A347" s="166" t="s">
        <v>645</v>
      </c>
      <c r="B347" s="133" t="s">
        <v>1071</v>
      </c>
      <c r="C347" s="133"/>
      <c r="D347" s="133" t="s">
        <v>646</v>
      </c>
      <c r="E347" s="134"/>
      <c r="F347" s="143">
        <v>1</v>
      </c>
      <c r="G347" s="146" t="s">
        <v>1072</v>
      </c>
      <c r="H347" s="146">
        <v>1604.16</v>
      </c>
      <c r="I347" s="276">
        <f>SUM(I348:I349)</f>
        <v>1604.1599999999999</v>
      </c>
    </row>
    <row r="348" spans="1:9" ht="24" customHeight="1" x14ac:dyDescent="0.2">
      <c r="A348" s="169" t="s">
        <v>647</v>
      </c>
      <c r="B348" s="136" t="s">
        <v>1374</v>
      </c>
      <c r="C348" s="136" t="s">
        <v>1090</v>
      </c>
      <c r="D348" s="136" t="s">
        <v>648</v>
      </c>
      <c r="E348" s="137" t="s">
        <v>13</v>
      </c>
      <c r="F348" s="144">
        <v>14.25</v>
      </c>
      <c r="G348" s="147">
        <v>32.01</v>
      </c>
      <c r="H348" s="147">
        <v>41.23</v>
      </c>
      <c r="I348" s="277">
        <f t="shared" si="5"/>
        <v>587.52</v>
      </c>
    </row>
    <row r="349" spans="1:9" ht="39" customHeight="1" x14ac:dyDescent="0.2">
      <c r="A349" s="169" t="s">
        <v>649</v>
      </c>
      <c r="B349" s="136" t="s">
        <v>1375</v>
      </c>
      <c r="C349" s="136" t="s">
        <v>1090</v>
      </c>
      <c r="D349" s="136" t="s">
        <v>650</v>
      </c>
      <c r="E349" s="137" t="s">
        <v>651</v>
      </c>
      <c r="F349" s="144">
        <v>3</v>
      </c>
      <c r="G349" s="147">
        <v>263.07</v>
      </c>
      <c r="H349" s="147">
        <v>338.88</v>
      </c>
      <c r="I349" s="277">
        <f t="shared" si="5"/>
        <v>1016.64</v>
      </c>
    </row>
    <row r="350" spans="1:9" ht="24" customHeight="1" x14ac:dyDescent="0.2">
      <c r="A350" s="166" t="s">
        <v>652</v>
      </c>
      <c r="B350" s="133" t="s">
        <v>1071</v>
      </c>
      <c r="C350" s="133"/>
      <c r="D350" s="133" t="s">
        <v>79</v>
      </c>
      <c r="E350" s="134"/>
      <c r="F350" s="143">
        <v>1</v>
      </c>
      <c r="G350" s="146" t="s">
        <v>1072</v>
      </c>
      <c r="H350" s="146">
        <v>3309.68</v>
      </c>
      <c r="I350" s="276">
        <f>SUM(I351:I353)</f>
        <v>3309.6800000000003</v>
      </c>
    </row>
    <row r="351" spans="1:9" ht="26.1" customHeight="1" x14ac:dyDescent="0.2">
      <c r="A351" s="169" t="s">
        <v>653</v>
      </c>
      <c r="B351" s="136" t="s">
        <v>1376</v>
      </c>
      <c r="C351" s="136" t="s">
        <v>1090</v>
      </c>
      <c r="D351" s="136" t="s">
        <v>94</v>
      </c>
      <c r="E351" s="137" t="s">
        <v>13</v>
      </c>
      <c r="F351" s="144">
        <v>1</v>
      </c>
      <c r="G351" s="147">
        <v>675.32</v>
      </c>
      <c r="H351" s="147">
        <v>869.94</v>
      </c>
      <c r="I351" s="277">
        <f t="shared" si="5"/>
        <v>869.94</v>
      </c>
    </row>
    <row r="352" spans="1:9" ht="26.1" customHeight="1" x14ac:dyDescent="0.2">
      <c r="A352" s="169" t="s">
        <v>654</v>
      </c>
      <c r="B352" s="136" t="s">
        <v>1377</v>
      </c>
      <c r="C352" s="136" t="s">
        <v>1090</v>
      </c>
      <c r="D352" s="136" t="s">
        <v>655</v>
      </c>
      <c r="E352" s="137" t="s">
        <v>13</v>
      </c>
      <c r="F352" s="144">
        <v>1</v>
      </c>
      <c r="G352" s="147">
        <v>1486.87</v>
      </c>
      <c r="H352" s="147">
        <v>1915.38</v>
      </c>
      <c r="I352" s="277">
        <f t="shared" si="5"/>
        <v>1915.38</v>
      </c>
    </row>
    <row r="353" spans="1:9" ht="26.1" customHeight="1" x14ac:dyDescent="0.2">
      <c r="A353" s="169" t="s">
        <v>656</v>
      </c>
      <c r="B353" s="136" t="s">
        <v>1378</v>
      </c>
      <c r="C353" s="136" t="s">
        <v>1090</v>
      </c>
      <c r="D353" s="136" t="s">
        <v>657</v>
      </c>
      <c r="E353" s="137" t="s">
        <v>13</v>
      </c>
      <c r="F353" s="144">
        <v>1</v>
      </c>
      <c r="G353" s="147">
        <v>407.05</v>
      </c>
      <c r="H353" s="147">
        <v>524.36</v>
      </c>
      <c r="I353" s="277">
        <f t="shared" si="5"/>
        <v>524.36</v>
      </c>
    </row>
    <row r="354" spans="1:9" ht="24" customHeight="1" x14ac:dyDescent="0.2">
      <c r="A354" s="166" t="s">
        <v>658</v>
      </c>
      <c r="B354" s="133" t="s">
        <v>1071</v>
      </c>
      <c r="C354" s="133"/>
      <c r="D354" s="133" t="s">
        <v>659</v>
      </c>
      <c r="E354" s="134"/>
      <c r="F354" s="143">
        <v>1</v>
      </c>
      <c r="G354" s="146" t="s">
        <v>1072</v>
      </c>
      <c r="H354" s="146">
        <v>101336.87</v>
      </c>
      <c r="I354" s="276">
        <f>SUM(I355:I376)</f>
        <v>101336.87000000001</v>
      </c>
    </row>
    <row r="355" spans="1:9" ht="24" customHeight="1" x14ac:dyDescent="0.2">
      <c r="A355" s="169" t="s">
        <v>660</v>
      </c>
      <c r="B355" s="136" t="s">
        <v>1315</v>
      </c>
      <c r="C355" s="136" t="s">
        <v>1090</v>
      </c>
      <c r="D355" s="136" t="s">
        <v>661</v>
      </c>
      <c r="E355" s="137" t="s">
        <v>10</v>
      </c>
      <c r="F355" s="144">
        <v>412</v>
      </c>
      <c r="G355" s="147">
        <v>22.53</v>
      </c>
      <c r="H355" s="147">
        <v>29.02</v>
      </c>
      <c r="I355" s="277">
        <f t="shared" si="5"/>
        <v>11956.24</v>
      </c>
    </row>
    <row r="356" spans="1:9" ht="26.1" customHeight="1" x14ac:dyDescent="0.2">
      <c r="A356" s="169" t="s">
        <v>662</v>
      </c>
      <c r="B356" s="136" t="s">
        <v>1285</v>
      </c>
      <c r="C356" s="136" t="s">
        <v>1090</v>
      </c>
      <c r="D356" s="136" t="s">
        <v>663</v>
      </c>
      <c r="E356" s="137" t="s">
        <v>33</v>
      </c>
      <c r="F356" s="144">
        <v>20</v>
      </c>
      <c r="G356" s="147">
        <v>2.67</v>
      </c>
      <c r="H356" s="147">
        <v>3.43</v>
      </c>
      <c r="I356" s="277">
        <f t="shared" si="5"/>
        <v>68.599999999999994</v>
      </c>
    </row>
    <row r="357" spans="1:9" ht="39" customHeight="1" x14ac:dyDescent="0.2">
      <c r="A357" s="169" t="s">
        <v>664</v>
      </c>
      <c r="B357" s="136" t="s">
        <v>1379</v>
      </c>
      <c r="C357" s="136" t="s">
        <v>1075</v>
      </c>
      <c r="D357" s="136" t="s">
        <v>665</v>
      </c>
      <c r="E357" s="137" t="s">
        <v>10</v>
      </c>
      <c r="F357" s="144">
        <v>54</v>
      </c>
      <c r="G357" s="147">
        <v>11.4</v>
      </c>
      <c r="H357" s="147">
        <v>14.68</v>
      </c>
      <c r="I357" s="277">
        <f t="shared" si="5"/>
        <v>792.72</v>
      </c>
    </row>
    <row r="358" spans="1:9" ht="39" customHeight="1" x14ac:dyDescent="0.2">
      <c r="A358" s="169" t="s">
        <v>666</v>
      </c>
      <c r="B358" s="136" t="s">
        <v>1156</v>
      </c>
      <c r="C358" s="136" t="s">
        <v>1075</v>
      </c>
      <c r="D358" s="136" t="s">
        <v>667</v>
      </c>
      <c r="E358" s="137" t="s">
        <v>33</v>
      </c>
      <c r="F358" s="144">
        <v>2</v>
      </c>
      <c r="G358" s="147">
        <v>30.81</v>
      </c>
      <c r="H358" s="147">
        <v>39.68</v>
      </c>
      <c r="I358" s="277">
        <f t="shared" si="5"/>
        <v>79.36</v>
      </c>
    </row>
    <row r="359" spans="1:9" ht="39" customHeight="1" x14ac:dyDescent="0.2">
      <c r="A359" s="169" t="s">
        <v>668</v>
      </c>
      <c r="B359" s="136" t="s">
        <v>1380</v>
      </c>
      <c r="C359" s="136" t="s">
        <v>1075</v>
      </c>
      <c r="D359" s="136" t="s">
        <v>669</v>
      </c>
      <c r="E359" s="137" t="s">
        <v>33</v>
      </c>
      <c r="F359" s="144">
        <v>1</v>
      </c>
      <c r="G359" s="147">
        <v>34.9</v>
      </c>
      <c r="H359" s="147">
        <v>44.95</v>
      </c>
      <c r="I359" s="277">
        <f t="shared" si="5"/>
        <v>44.95</v>
      </c>
    </row>
    <row r="360" spans="1:9" ht="26.1" customHeight="1" x14ac:dyDescent="0.2">
      <c r="A360" s="169" t="s">
        <v>670</v>
      </c>
      <c r="B360" s="136" t="s">
        <v>1159</v>
      </c>
      <c r="C360" s="136" t="s">
        <v>1075</v>
      </c>
      <c r="D360" s="136" t="s">
        <v>671</v>
      </c>
      <c r="E360" s="137" t="s">
        <v>33</v>
      </c>
      <c r="F360" s="144">
        <v>8</v>
      </c>
      <c r="G360" s="147">
        <v>16.27</v>
      </c>
      <c r="H360" s="147">
        <v>20.95</v>
      </c>
      <c r="I360" s="277">
        <f t="shared" si="5"/>
        <v>167.6</v>
      </c>
    </row>
    <row r="361" spans="1:9" ht="39" customHeight="1" x14ac:dyDescent="0.2">
      <c r="A361" s="169" t="s">
        <v>672</v>
      </c>
      <c r="B361" s="136" t="s">
        <v>1175</v>
      </c>
      <c r="C361" s="136" t="s">
        <v>1075</v>
      </c>
      <c r="D361" s="136" t="s">
        <v>673</v>
      </c>
      <c r="E361" s="137" t="s">
        <v>33</v>
      </c>
      <c r="F361" s="144">
        <v>3</v>
      </c>
      <c r="G361" s="147">
        <v>8.26</v>
      </c>
      <c r="H361" s="147">
        <v>10.64</v>
      </c>
      <c r="I361" s="277">
        <f t="shared" si="5"/>
        <v>31.92</v>
      </c>
    </row>
    <row r="362" spans="1:9" ht="39" customHeight="1" x14ac:dyDescent="0.2">
      <c r="A362" s="169" t="s">
        <v>674</v>
      </c>
      <c r="B362" s="136" t="s">
        <v>1161</v>
      </c>
      <c r="C362" s="136" t="s">
        <v>1075</v>
      </c>
      <c r="D362" s="136" t="s">
        <v>675</v>
      </c>
      <c r="E362" s="137" t="s">
        <v>10</v>
      </c>
      <c r="F362" s="144">
        <v>1781</v>
      </c>
      <c r="G362" s="147">
        <v>4.33</v>
      </c>
      <c r="H362" s="147">
        <v>5.57</v>
      </c>
      <c r="I362" s="277">
        <f t="shared" si="5"/>
        <v>9920.17</v>
      </c>
    </row>
    <row r="363" spans="1:9" ht="24" customHeight="1" x14ac:dyDescent="0.2">
      <c r="A363" s="169" t="s">
        <v>676</v>
      </c>
      <c r="B363" s="136" t="s">
        <v>1381</v>
      </c>
      <c r="C363" s="136" t="s">
        <v>1090</v>
      </c>
      <c r="D363" s="136" t="s">
        <v>677</v>
      </c>
      <c r="E363" s="137" t="s">
        <v>33</v>
      </c>
      <c r="F363" s="144">
        <v>18</v>
      </c>
      <c r="G363" s="147">
        <v>275.36</v>
      </c>
      <c r="H363" s="147">
        <v>354.71</v>
      </c>
      <c r="I363" s="277">
        <f t="shared" si="5"/>
        <v>6384.78</v>
      </c>
    </row>
    <row r="364" spans="1:9" ht="26.1" customHeight="1" x14ac:dyDescent="0.2">
      <c r="A364" s="169" t="s">
        <v>678</v>
      </c>
      <c r="B364" s="136" t="s">
        <v>1382</v>
      </c>
      <c r="C364" s="136" t="s">
        <v>1090</v>
      </c>
      <c r="D364" s="136" t="s">
        <v>679</v>
      </c>
      <c r="E364" s="137" t="s">
        <v>33</v>
      </c>
      <c r="F364" s="144">
        <v>7</v>
      </c>
      <c r="G364" s="147">
        <v>216.67</v>
      </c>
      <c r="H364" s="147">
        <v>279.11</v>
      </c>
      <c r="I364" s="277">
        <f t="shared" si="5"/>
        <v>1953.77</v>
      </c>
    </row>
    <row r="365" spans="1:9" ht="39" customHeight="1" x14ac:dyDescent="0.2">
      <c r="A365" s="169" t="s">
        <v>680</v>
      </c>
      <c r="B365" s="136" t="s">
        <v>1383</v>
      </c>
      <c r="C365" s="136" t="s">
        <v>1075</v>
      </c>
      <c r="D365" s="136" t="s">
        <v>681</v>
      </c>
      <c r="E365" s="137" t="s">
        <v>33</v>
      </c>
      <c r="F365" s="144">
        <v>1</v>
      </c>
      <c r="G365" s="147">
        <v>102.98</v>
      </c>
      <c r="H365" s="147">
        <v>132.65</v>
      </c>
      <c r="I365" s="277">
        <f t="shared" si="5"/>
        <v>132.65</v>
      </c>
    </row>
    <row r="366" spans="1:9" ht="39" customHeight="1" x14ac:dyDescent="0.2">
      <c r="A366" s="169" t="s">
        <v>682</v>
      </c>
      <c r="B366" s="136" t="s">
        <v>1164</v>
      </c>
      <c r="C366" s="136" t="s">
        <v>1075</v>
      </c>
      <c r="D366" s="136" t="s">
        <v>683</v>
      </c>
      <c r="E366" s="137" t="s">
        <v>33</v>
      </c>
      <c r="F366" s="144">
        <v>2</v>
      </c>
      <c r="G366" s="147">
        <v>27.29</v>
      </c>
      <c r="H366" s="147">
        <v>35.15</v>
      </c>
      <c r="I366" s="277">
        <f t="shared" si="5"/>
        <v>70.3</v>
      </c>
    </row>
    <row r="367" spans="1:9" ht="26.1" customHeight="1" x14ac:dyDescent="0.2">
      <c r="A367" s="169" t="s">
        <v>684</v>
      </c>
      <c r="B367" s="136" t="s">
        <v>1384</v>
      </c>
      <c r="C367" s="136" t="s">
        <v>1090</v>
      </c>
      <c r="D367" s="136" t="s">
        <v>685</v>
      </c>
      <c r="E367" s="137" t="s">
        <v>33</v>
      </c>
      <c r="F367" s="144">
        <v>2</v>
      </c>
      <c r="G367" s="147">
        <v>54.87</v>
      </c>
      <c r="H367" s="147">
        <v>70.680000000000007</v>
      </c>
      <c r="I367" s="277">
        <f t="shared" si="5"/>
        <v>141.36000000000001</v>
      </c>
    </row>
    <row r="368" spans="1:9" ht="26.1" customHeight="1" x14ac:dyDescent="0.2">
      <c r="A368" s="169" t="s">
        <v>686</v>
      </c>
      <c r="B368" s="136" t="s">
        <v>1168</v>
      </c>
      <c r="C368" s="136" t="s">
        <v>1075</v>
      </c>
      <c r="D368" s="136" t="s">
        <v>687</v>
      </c>
      <c r="E368" s="137" t="s">
        <v>33</v>
      </c>
      <c r="F368" s="144">
        <v>2</v>
      </c>
      <c r="G368" s="147">
        <v>14.25</v>
      </c>
      <c r="H368" s="147">
        <v>18.350000000000001</v>
      </c>
      <c r="I368" s="277">
        <f t="shared" si="5"/>
        <v>36.700000000000003</v>
      </c>
    </row>
    <row r="369" spans="1:9" ht="51.95" customHeight="1" x14ac:dyDescent="0.2">
      <c r="A369" s="169" t="s">
        <v>688</v>
      </c>
      <c r="B369" s="136" t="s">
        <v>1170</v>
      </c>
      <c r="C369" s="136" t="s">
        <v>1075</v>
      </c>
      <c r="D369" s="136" t="s">
        <v>689</v>
      </c>
      <c r="E369" s="137" t="s">
        <v>10</v>
      </c>
      <c r="F369" s="144">
        <v>33</v>
      </c>
      <c r="G369" s="147">
        <v>19.48</v>
      </c>
      <c r="H369" s="147">
        <v>25.09</v>
      </c>
      <c r="I369" s="277">
        <f t="shared" si="5"/>
        <v>827.97</v>
      </c>
    </row>
    <row r="370" spans="1:9" ht="26.1" customHeight="1" x14ac:dyDescent="0.2">
      <c r="A370" s="169" t="s">
        <v>690</v>
      </c>
      <c r="B370" s="136" t="s">
        <v>1385</v>
      </c>
      <c r="C370" s="136" t="s">
        <v>1090</v>
      </c>
      <c r="D370" s="136" t="s">
        <v>691</v>
      </c>
      <c r="E370" s="137" t="s">
        <v>10</v>
      </c>
      <c r="F370" s="144">
        <v>17</v>
      </c>
      <c r="G370" s="147">
        <v>18.48</v>
      </c>
      <c r="H370" s="147">
        <v>23.8</v>
      </c>
      <c r="I370" s="277">
        <f t="shared" si="5"/>
        <v>404.6</v>
      </c>
    </row>
    <row r="371" spans="1:9" ht="39" customHeight="1" x14ac:dyDescent="0.2">
      <c r="A371" s="169" t="s">
        <v>692</v>
      </c>
      <c r="B371" s="136" t="s">
        <v>1386</v>
      </c>
      <c r="C371" s="136" t="s">
        <v>1090</v>
      </c>
      <c r="D371" s="136" t="s">
        <v>693</v>
      </c>
      <c r="E371" s="137" t="s">
        <v>16</v>
      </c>
      <c r="F371" s="144">
        <v>8</v>
      </c>
      <c r="G371" s="147">
        <v>73.73</v>
      </c>
      <c r="H371" s="147">
        <v>94.97</v>
      </c>
      <c r="I371" s="277">
        <f t="shared" si="5"/>
        <v>759.76</v>
      </c>
    </row>
    <row r="372" spans="1:9" ht="26.1" customHeight="1" x14ac:dyDescent="0.2">
      <c r="A372" s="169" t="s">
        <v>694</v>
      </c>
      <c r="B372" s="136" t="s">
        <v>1387</v>
      </c>
      <c r="C372" s="136" t="s">
        <v>1090</v>
      </c>
      <c r="D372" s="136" t="s">
        <v>695</v>
      </c>
      <c r="E372" s="137" t="s">
        <v>33</v>
      </c>
      <c r="F372" s="144">
        <v>6</v>
      </c>
      <c r="G372" s="147">
        <v>230.34</v>
      </c>
      <c r="H372" s="147">
        <v>296.72000000000003</v>
      </c>
      <c r="I372" s="277">
        <f t="shared" si="5"/>
        <v>1780.32</v>
      </c>
    </row>
    <row r="373" spans="1:9" ht="26.1" customHeight="1" x14ac:dyDescent="0.2">
      <c r="A373" s="169" t="s">
        <v>696</v>
      </c>
      <c r="B373" s="136" t="s">
        <v>1388</v>
      </c>
      <c r="C373" s="136" t="s">
        <v>1090</v>
      </c>
      <c r="D373" s="136" t="s">
        <v>697</v>
      </c>
      <c r="E373" s="137" t="s">
        <v>33</v>
      </c>
      <c r="F373" s="144">
        <v>13</v>
      </c>
      <c r="G373" s="147">
        <v>57.25</v>
      </c>
      <c r="H373" s="147">
        <v>73.739999999999995</v>
      </c>
      <c r="I373" s="277">
        <f t="shared" si="5"/>
        <v>958.62</v>
      </c>
    </row>
    <row r="374" spans="1:9" ht="26.1" customHeight="1" x14ac:dyDescent="0.2">
      <c r="A374" s="169" t="s">
        <v>698</v>
      </c>
      <c r="B374" s="136" t="s">
        <v>1389</v>
      </c>
      <c r="C374" s="136" t="s">
        <v>1090</v>
      </c>
      <c r="D374" s="136" t="s">
        <v>699</v>
      </c>
      <c r="E374" s="137" t="s">
        <v>33</v>
      </c>
      <c r="F374" s="144">
        <v>1</v>
      </c>
      <c r="G374" s="147">
        <v>28.04</v>
      </c>
      <c r="H374" s="147">
        <v>36.119999999999997</v>
      </c>
      <c r="I374" s="277">
        <f t="shared" si="5"/>
        <v>36.119999999999997</v>
      </c>
    </row>
    <row r="375" spans="1:9" ht="65.099999999999994" customHeight="1" x14ac:dyDescent="0.2">
      <c r="A375" s="169" t="s">
        <v>700</v>
      </c>
      <c r="B375" s="136" t="s">
        <v>1291</v>
      </c>
      <c r="C375" s="136" t="s">
        <v>1090</v>
      </c>
      <c r="D375" s="136" t="s">
        <v>701</v>
      </c>
      <c r="E375" s="137" t="s">
        <v>10</v>
      </c>
      <c r="F375" s="144">
        <v>12</v>
      </c>
      <c r="G375" s="147">
        <v>44.31</v>
      </c>
      <c r="H375" s="147">
        <v>57.08</v>
      </c>
      <c r="I375" s="277">
        <f t="shared" si="5"/>
        <v>684.96</v>
      </c>
    </row>
    <row r="376" spans="1:9" ht="78" customHeight="1" x14ac:dyDescent="0.2">
      <c r="A376" s="169" t="s">
        <v>702</v>
      </c>
      <c r="B376" s="136" t="s">
        <v>1390</v>
      </c>
      <c r="C376" s="136" t="s">
        <v>1090</v>
      </c>
      <c r="D376" s="136" t="s">
        <v>703</v>
      </c>
      <c r="E376" s="137" t="s">
        <v>16</v>
      </c>
      <c r="F376" s="144">
        <v>18</v>
      </c>
      <c r="G376" s="147">
        <v>2764.56</v>
      </c>
      <c r="H376" s="147">
        <v>3561.3</v>
      </c>
      <c r="I376" s="277">
        <f t="shared" si="5"/>
        <v>64103.4</v>
      </c>
    </row>
    <row r="377" spans="1:9" ht="24" customHeight="1" x14ac:dyDescent="0.2">
      <c r="A377" s="166" t="s">
        <v>704</v>
      </c>
      <c r="B377" s="133" t="s">
        <v>1071</v>
      </c>
      <c r="C377" s="133"/>
      <c r="D377" s="133" t="s">
        <v>95</v>
      </c>
      <c r="E377" s="134"/>
      <c r="F377" s="143">
        <v>1</v>
      </c>
      <c r="G377" s="146" t="s">
        <v>1072</v>
      </c>
      <c r="H377" s="146">
        <v>295204.03000000003</v>
      </c>
      <c r="I377" s="276">
        <f>SUM(I378:I382)</f>
        <v>307142.33</v>
      </c>
    </row>
    <row r="378" spans="1:9" ht="39" customHeight="1" x14ac:dyDescent="0.2">
      <c r="A378" s="169" t="s">
        <v>705</v>
      </c>
      <c r="B378" s="136" t="s">
        <v>1233</v>
      </c>
      <c r="C378" s="136" t="s">
        <v>1090</v>
      </c>
      <c r="D378" s="136" t="s">
        <v>160</v>
      </c>
      <c r="E378" s="137" t="s">
        <v>13</v>
      </c>
      <c r="F378" s="144">
        <v>54.02</v>
      </c>
      <c r="G378" s="147">
        <v>188.33</v>
      </c>
      <c r="H378" s="147">
        <v>242.6</v>
      </c>
      <c r="I378" s="277">
        <f t="shared" si="5"/>
        <v>13105.25</v>
      </c>
    </row>
    <row r="379" spans="1:9" x14ac:dyDescent="0.2">
      <c r="A379" s="169" t="s">
        <v>706</v>
      </c>
      <c r="B379" s="136" t="s">
        <v>1564</v>
      </c>
      <c r="C379" s="136" t="s">
        <v>1090</v>
      </c>
      <c r="D379" s="136" t="s">
        <v>1563</v>
      </c>
      <c r="E379" s="137" t="s">
        <v>10</v>
      </c>
      <c r="F379" s="144">
        <v>44.41</v>
      </c>
      <c r="G379" s="147">
        <v>678.52</v>
      </c>
      <c r="H379" s="147">
        <v>874.06</v>
      </c>
      <c r="I379" s="277">
        <f t="shared" si="5"/>
        <v>38817</v>
      </c>
    </row>
    <row r="380" spans="1:9" ht="65.099999999999994" customHeight="1" x14ac:dyDescent="0.2">
      <c r="A380" s="169" t="s">
        <v>707</v>
      </c>
      <c r="B380" s="136" t="s">
        <v>1391</v>
      </c>
      <c r="C380" s="136" t="s">
        <v>1090</v>
      </c>
      <c r="D380" s="136" t="s">
        <v>708</v>
      </c>
      <c r="E380" s="137" t="s">
        <v>10</v>
      </c>
      <c r="F380" s="144">
        <v>13.45</v>
      </c>
      <c r="G380" s="147">
        <v>290.85000000000002</v>
      </c>
      <c r="H380" s="147">
        <v>374.67</v>
      </c>
      <c r="I380" s="277">
        <f t="shared" si="5"/>
        <v>5039.3100000000004</v>
      </c>
    </row>
    <row r="381" spans="1:9" ht="90.95" customHeight="1" x14ac:dyDescent="0.2">
      <c r="A381" s="169" t="s">
        <v>709</v>
      </c>
      <c r="B381" s="136" t="s">
        <v>1392</v>
      </c>
      <c r="C381" s="136" t="s">
        <v>1090</v>
      </c>
      <c r="D381" s="136" t="s">
        <v>710</v>
      </c>
      <c r="E381" s="137" t="s">
        <v>10</v>
      </c>
      <c r="F381" s="144">
        <v>51.48</v>
      </c>
      <c r="G381" s="147">
        <v>749.26</v>
      </c>
      <c r="H381" s="147">
        <v>965.19</v>
      </c>
      <c r="I381" s="277">
        <f t="shared" si="5"/>
        <v>49687.98</v>
      </c>
    </row>
    <row r="382" spans="1:9" ht="24" customHeight="1" x14ac:dyDescent="0.2">
      <c r="A382" s="169" t="s">
        <v>711</v>
      </c>
      <c r="B382" s="136" t="s">
        <v>1393</v>
      </c>
      <c r="C382" s="136" t="s">
        <v>1090</v>
      </c>
      <c r="D382" s="136" t="s">
        <v>712</v>
      </c>
      <c r="E382" s="137" t="s">
        <v>10</v>
      </c>
      <c r="F382" s="144">
        <v>397.89</v>
      </c>
      <c r="G382" s="147">
        <v>391.16</v>
      </c>
      <c r="H382" s="147">
        <v>503.89</v>
      </c>
      <c r="I382" s="277">
        <f t="shared" si="5"/>
        <v>200492.79</v>
      </c>
    </row>
    <row r="383" spans="1:9" ht="24" customHeight="1" x14ac:dyDescent="0.2">
      <c r="A383" s="166" t="s">
        <v>713</v>
      </c>
      <c r="B383" s="133" t="s">
        <v>1071</v>
      </c>
      <c r="C383" s="133"/>
      <c r="D383" s="133" t="s">
        <v>714</v>
      </c>
      <c r="E383" s="134"/>
      <c r="F383" s="143">
        <v>1</v>
      </c>
      <c r="G383" s="146" t="s">
        <v>1072</v>
      </c>
      <c r="H383" s="146">
        <v>33441.01</v>
      </c>
      <c r="I383" s="276">
        <f>SUM(I384:I389)</f>
        <v>33441.01</v>
      </c>
    </row>
    <row r="384" spans="1:9" ht="26.1" customHeight="1" x14ac:dyDescent="0.2">
      <c r="A384" s="169" t="s">
        <v>715</v>
      </c>
      <c r="B384" s="136" t="s">
        <v>1394</v>
      </c>
      <c r="C384" s="136" t="s">
        <v>1075</v>
      </c>
      <c r="D384" s="136" t="s">
        <v>716</v>
      </c>
      <c r="E384" s="137" t="s">
        <v>13</v>
      </c>
      <c r="F384" s="144">
        <v>560</v>
      </c>
      <c r="G384" s="147">
        <v>17.100000000000001</v>
      </c>
      <c r="H384" s="147">
        <v>22.02</v>
      </c>
      <c r="I384" s="277">
        <f t="shared" si="5"/>
        <v>12331.2</v>
      </c>
    </row>
    <row r="385" spans="1:9" ht="26.1" customHeight="1" x14ac:dyDescent="0.2">
      <c r="A385" s="169" t="s">
        <v>717</v>
      </c>
      <c r="B385" s="136" t="s">
        <v>1395</v>
      </c>
      <c r="C385" s="136" t="s">
        <v>1090</v>
      </c>
      <c r="D385" s="136" t="s">
        <v>718</v>
      </c>
      <c r="E385" s="137" t="s">
        <v>16</v>
      </c>
      <c r="F385" s="144">
        <v>22</v>
      </c>
      <c r="G385" s="147">
        <v>546.12</v>
      </c>
      <c r="H385" s="147">
        <v>703.51</v>
      </c>
      <c r="I385" s="277">
        <f t="shared" si="5"/>
        <v>15477.22</v>
      </c>
    </row>
    <row r="386" spans="1:9" ht="26.1" customHeight="1" x14ac:dyDescent="0.2">
      <c r="A386" s="169" t="s">
        <v>719</v>
      </c>
      <c r="B386" s="136" t="s">
        <v>1396</v>
      </c>
      <c r="C386" s="136" t="s">
        <v>1090</v>
      </c>
      <c r="D386" s="136" t="s">
        <v>720</v>
      </c>
      <c r="E386" s="137" t="s">
        <v>16</v>
      </c>
      <c r="F386" s="144">
        <v>105</v>
      </c>
      <c r="G386" s="147">
        <v>23.94</v>
      </c>
      <c r="H386" s="147">
        <v>30.83</v>
      </c>
      <c r="I386" s="277">
        <f t="shared" si="5"/>
        <v>3237.15</v>
      </c>
    </row>
    <row r="387" spans="1:9" ht="26.1" customHeight="1" x14ac:dyDescent="0.2">
      <c r="A387" s="169" t="s">
        <v>721</v>
      </c>
      <c r="B387" s="136" t="s">
        <v>1397</v>
      </c>
      <c r="C387" s="136" t="s">
        <v>1090</v>
      </c>
      <c r="D387" s="136" t="s">
        <v>722</v>
      </c>
      <c r="E387" s="137" t="s">
        <v>16</v>
      </c>
      <c r="F387" s="144">
        <v>6</v>
      </c>
      <c r="G387" s="147">
        <v>164.19</v>
      </c>
      <c r="H387" s="147">
        <v>211.5</v>
      </c>
      <c r="I387" s="277">
        <f t="shared" si="5"/>
        <v>1269</v>
      </c>
    </row>
    <row r="388" spans="1:9" ht="26.1" customHeight="1" x14ac:dyDescent="0.2">
      <c r="A388" s="169" t="s">
        <v>723</v>
      </c>
      <c r="B388" s="136" t="s">
        <v>1398</v>
      </c>
      <c r="C388" s="136" t="s">
        <v>1090</v>
      </c>
      <c r="D388" s="136" t="s">
        <v>724</v>
      </c>
      <c r="E388" s="137" t="s">
        <v>16</v>
      </c>
      <c r="F388" s="144">
        <v>6</v>
      </c>
      <c r="G388" s="147">
        <v>52.17</v>
      </c>
      <c r="H388" s="147">
        <v>67.2</v>
      </c>
      <c r="I388" s="277">
        <f t="shared" si="5"/>
        <v>403.2</v>
      </c>
    </row>
    <row r="389" spans="1:9" ht="26.1" customHeight="1" x14ac:dyDescent="0.2">
      <c r="A389" s="169" t="s">
        <v>1399</v>
      </c>
      <c r="B389" s="136" t="s">
        <v>1400</v>
      </c>
      <c r="C389" s="136" t="s">
        <v>1090</v>
      </c>
      <c r="D389" s="136" t="s">
        <v>903</v>
      </c>
      <c r="E389" s="137" t="s">
        <v>16</v>
      </c>
      <c r="F389" s="144">
        <v>12</v>
      </c>
      <c r="G389" s="147">
        <v>46.79</v>
      </c>
      <c r="H389" s="147">
        <v>60.27</v>
      </c>
      <c r="I389" s="277">
        <f t="shared" si="5"/>
        <v>723.24</v>
      </c>
    </row>
    <row r="390" spans="1:9" ht="24" customHeight="1" x14ac:dyDescent="0.2">
      <c r="A390" s="166" t="s">
        <v>1401</v>
      </c>
      <c r="B390" s="133" t="s">
        <v>1071</v>
      </c>
      <c r="C390" s="133"/>
      <c r="D390" s="133" t="s">
        <v>459</v>
      </c>
      <c r="E390" s="134"/>
      <c r="F390" s="143">
        <v>1</v>
      </c>
      <c r="G390" s="146" t="s">
        <v>1072</v>
      </c>
      <c r="H390" s="146">
        <v>1332.32</v>
      </c>
      <c r="I390" s="276">
        <f>SUM(I391:I395)</f>
        <v>1332.32</v>
      </c>
    </row>
    <row r="391" spans="1:9" ht="39" customHeight="1" x14ac:dyDescent="0.2">
      <c r="A391" s="169" t="s">
        <v>1402</v>
      </c>
      <c r="B391" s="136" t="s">
        <v>1254</v>
      </c>
      <c r="C391" s="136" t="s">
        <v>1075</v>
      </c>
      <c r="D391" s="136" t="s">
        <v>457</v>
      </c>
      <c r="E391" s="137" t="s">
        <v>10</v>
      </c>
      <c r="F391" s="144">
        <v>5.22</v>
      </c>
      <c r="G391" s="147">
        <v>66.95</v>
      </c>
      <c r="H391" s="147">
        <v>86.24</v>
      </c>
      <c r="I391" s="277">
        <f t="shared" si="5"/>
        <v>450.17</v>
      </c>
    </row>
    <row r="392" spans="1:9" ht="39" customHeight="1" x14ac:dyDescent="0.2">
      <c r="A392" s="169" t="s">
        <v>868</v>
      </c>
      <c r="B392" s="136" t="s">
        <v>1403</v>
      </c>
      <c r="C392" s="136" t="s">
        <v>1075</v>
      </c>
      <c r="D392" s="136" t="s">
        <v>872</v>
      </c>
      <c r="E392" s="137" t="s">
        <v>33</v>
      </c>
      <c r="F392" s="144">
        <v>1</v>
      </c>
      <c r="G392" s="147">
        <v>117.42</v>
      </c>
      <c r="H392" s="147">
        <v>151.26</v>
      </c>
      <c r="I392" s="277">
        <f t="shared" ref="I392:I423" si="6">TRUNC(F392*H392,2)</f>
        <v>151.26</v>
      </c>
    </row>
    <row r="393" spans="1:9" ht="39" customHeight="1" x14ac:dyDescent="0.2">
      <c r="A393" s="169" t="s">
        <v>869</v>
      </c>
      <c r="B393" s="136" t="s">
        <v>1404</v>
      </c>
      <c r="C393" s="136" t="s">
        <v>1075</v>
      </c>
      <c r="D393" s="136" t="s">
        <v>873</v>
      </c>
      <c r="E393" s="137" t="s">
        <v>33</v>
      </c>
      <c r="F393" s="144">
        <v>1</v>
      </c>
      <c r="G393" s="147">
        <v>120.22</v>
      </c>
      <c r="H393" s="147">
        <v>154.86000000000001</v>
      </c>
      <c r="I393" s="277">
        <f t="shared" si="6"/>
        <v>154.86000000000001</v>
      </c>
    </row>
    <row r="394" spans="1:9" ht="51.95" customHeight="1" x14ac:dyDescent="0.2">
      <c r="A394" s="169" t="s">
        <v>870</v>
      </c>
      <c r="B394" s="136" t="s">
        <v>1405</v>
      </c>
      <c r="C394" s="136" t="s">
        <v>1075</v>
      </c>
      <c r="D394" s="136" t="s">
        <v>874</v>
      </c>
      <c r="E394" s="137" t="s">
        <v>33</v>
      </c>
      <c r="F394" s="144">
        <v>1</v>
      </c>
      <c r="G394" s="147">
        <v>236.73</v>
      </c>
      <c r="H394" s="147">
        <v>304.95</v>
      </c>
      <c r="I394" s="277">
        <f t="shared" si="6"/>
        <v>304.95</v>
      </c>
    </row>
    <row r="395" spans="1:9" ht="39" customHeight="1" x14ac:dyDescent="0.2">
      <c r="A395" s="169" t="s">
        <v>871</v>
      </c>
      <c r="B395" s="136" t="s">
        <v>1406</v>
      </c>
      <c r="C395" s="136" t="s">
        <v>1075</v>
      </c>
      <c r="D395" s="136" t="s">
        <v>875</v>
      </c>
      <c r="E395" s="137" t="s">
        <v>33</v>
      </c>
      <c r="F395" s="144">
        <v>3</v>
      </c>
      <c r="G395" s="147">
        <v>70.150000000000006</v>
      </c>
      <c r="H395" s="147">
        <v>90.36</v>
      </c>
      <c r="I395" s="277">
        <f t="shared" si="6"/>
        <v>271.08</v>
      </c>
    </row>
    <row r="396" spans="1:9" ht="24" customHeight="1" x14ac:dyDescent="0.2">
      <c r="A396" s="166" t="s">
        <v>171</v>
      </c>
      <c r="B396" s="133" t="s">
        <v>1071</v>
      </c>
      <c r="C396" s="133"/>
      <c r="D396" s="133" t="s">
        <v>174</v>
      </c>
      <c r="E396" s="134"/>
      <c r="F396" s="143">
        <v>1</v>
      </c>
      <c r="G396" s="146" t="s">
        <v>1072</v>
      </c>
      <c r="H396" s="146">
        <v>115696.23</v>
      </c>
      <c r="I396" s="276">
        <f>SUM(I397:I399)</f>
        <v>115696.23</v>
      </c>
    </row>
    <row r="397" spans="1:9" ht="24" customHeight="1" x14ac:dyDescent="0.2">
      <c r="A397" s="169" t="s">
        <v>291</v>
      </c>
      <c r="B397" s="136" t="s">
        <v>1407</v>
      </c>
      <c r="C397" s="136" t="s">
        <v>1090</v>
      </c>
      <c r="D397" s="136" t="s">
        <v>176</v>
      </c>
      <c r="E397" s="137" t="s">
        <v>13</v>
      </c>
      <c r="F397" s="144">
        <v>3098.36</v>
      </c>
      <c r="G397" s="147">
        <v>2.86</v>
      </c>
      <c r="H397" s="147">
        <v>3.68</v>
      </c>
      <c r="I397" s="277">
        <f t="shared" si="6"/>
        <v>11401.96</v>
      </c>
    </row>
    <row r="398" spans="1:9" ht="26.1" customHeight="1" x14ac:dyDescent="0.2">
      <c r="A398" s="169" t="s">
        <v>292</v>
      </c>
      <c r="B398" s="136" t="s">
        <v>1228</v>
      </c>
      <c r="C398" s="136" t="s">
        <v>1075</v>
      </c>
      <c r="D398" s="136" t="s">
        <v>156</v>
      </c>
      <c r="E398" s="137" t="s">
        <v>13</v>
      </c>
      <c r="F398" s="144">
        <v>3098.36</v>
      </c>
      <c r="G398" s="147">
        <v>15.56</v>
      </c>
      <c r="H398" s="147">
        <v>20.04</v>
      </c>
      <c r="I398" s="277">
        <f t="shared" si="6"/>
        <v>62091.13</v>
      </c>
    </row>
    <row r="399" spans="1:9" ht="39" customHeight="1" x14ac:dyDescent="0.2">
      <c r="A399" s="169" t="s">
        <v>293</v>
      </c>
      <c r="B399" s="136" t="s">
        <v>1408</v>
      </c>
      <c r="C399" s="136" t="s">
        <v>1090</v>
      </c>
      <c r="D399" s="136" t="s">
        <v>179</v>
      </c>
      <c r="E399" s="137" t="s">
        <v>13</v>
      </c>
      <c r="F399" s="144">
        <v>600.5</v>
      </c>
      <c r="G399" s="147">
        <v>54.56</v>
      </c>
      <c r="H399" s="147">
        <v>70.28</v>
      </c>
      <c r="I399" s="277">
        <f t="shared" si="6"/>
        <v>42203.14</v>
      </c>
    </row>
    <row r="400" spans="1:9" ht="24" customHeight="1" x14ac:dyDescent="0.2">
      <c r="A400" s="166" t="s">
        <v>173</v>
      </c>
      <c r="B400" s="133" t="s">
        <v>1071</v>
      </c>
      <c r="C400" s="133"/>
      <c r="D400" s="133" t="s">
        <v>902</v>
      </c>
      <c r="E400" s="134"/>
      <c r="F400" s="143">
        <v>1</v>
      </c>
      <c r="G400" s="146" t="s">
        <v>1072</v>
      </c>
      <c r="H400" s="146">
        <v>30232.639999999999</v>
      </c>
      <c r="I400" s="276">
        <f>I401+I405+I408+I413+I417</f>
        <v>13684.269999999999</v>
      </c>
    </row>
    <row r="401" spans="1:9" ht="24" customHeight="1" x14ac:dyDescent="0.2">
      <c r="A401" s="166" t="s">
        <v>175</v>
      </c>
      <c r="B401" s="133" t="s">
        <v>1071</v>
      </c>
      <c r="C401" s="133"/>
      <c r="D401" s="133" t="s">
        <v>25</v>
      </c>
      <c r="E401" s="134"/>
      <c r="F401" s="143">
        <v>1</v>
      </c>
      <c r="G401" s="146" t="s">
        <v>1072</v>
      </c>
      <c r="H401" s="146">
        <v>1733.82</v>
      </c>
      <c r="I401" s="276">
        <f>SUM(I402:I404)</f>
        <v>1733.8200000000002</v>
      </c>
    </row>
    <row r="402" spans="1:9" ht="24" customHeight="1" x14ac:dyDescent="0.2">
      <c r="A402" s="169" t="s">
        <v>901</v>
      </c>
      <c r="B402" s="136" t="s">
        <v>1198</v>
      </c>
      <c r="C402" s="136" t="s">
        <v>1090</v>
      </c>
      <c r="D402" s="136" t="s">
        <v>121</v>
      </c>
      <c r="E402" s="137" t="s">
        <v>122</v>
      </c>
      <c r="F402" s="144">
        <v>24</v>
      </c>
      <c r="G402" s="147">
        <v>7.37</v>
      </c>
      <c r="H402" s="147">
        <v>9.49</v>
      </c>
      <c r="I402" s="277">
        <f t="shared" si="6"/>
        <v>227.76</v>
      </c>
    </row>
    <row r="403" spans="1:9" ht="26.1" customHeight="1" x14ac:dyDescent="0.2">
      <c r="A403" s="169" t="s">
        <v>900</v>
      </c>
      <c r="B403" s="136" t="s">
        <v>1197</v>
      </c>
      <c r="C403" s="136" t="s">
        <v>1075</v>
      </c>
      <c r="D403" s="136" t="s">
        <v>120</v>
      </c>
      <c r="E403" s="137" t="s">
        <v>13</v>
      </c>
      <c r="F403" s="144">
        <v>31.68</v>
      </c>
      <c r="G403" s="147">
        <v>33.78</v>
      </c>
      <c r="H403" s="147">
        <v>43.51</v>
      </c>
      <c r="I403" s="277">
        <f t="shared" si="6"/>
        <v>1378.39</v>
      </c>
    </row>
    <row r="404" spans="1:9" ht="39" customHeight="1" x14ac:dyDescent="0.2">
      <c r="A404" s="169" t="s">
        <v>899</v>
      </c>
      <c r="B404" s="136" t="s">
        <v>1409</v>
      </c>
      <c r="C404" s="136" t="s">
        <v>1075</v>
      </c>
      <c r="D404" s="136" t="s">
        <v>898</v>
      </c>
      <c r="E404" s="137" t="s">
        <v>13</v>
      </c>
      <c r="F404" s="144">
        <v>31.68</v>
      </c>
      <c r="G404" s="147">
        <v>3.13</v>
      </c>
      <c r="H404" s="147">
        <v>4.03</v>
      </c>
      <c r="I404" s="277">
        <f t="shared" si="6"/>
        <v>127.67</v>
      </c>
    </row>
    <row r="405" spans="1:9" ht="24" customHeight="1" x14ac:dyDescent="0.2">
      <c r="A405" s="166" t="s">
        <v>177</v>
      </c>
      <c r="B405" s="133" t="s">
        <v>1071</v>
      </c>
      <c r="C405" s="133"/>
      <c r="D405" s="133" t="s">
        <v>124</v>
      </c>
      <c r="E405" s="134"/>
      <c r="F405" s="143">
        <v>1</v>
      </c>
      <c r="G405" s="146" t="s">
        <v>1072</v>
      </c>
      <c r="H405" s="146">
        <v>128.06</v>
      </c>
      <c r="I405" s="276">
        <f>SUM(I406:I407)</f>
        <v>128.06</v>
      </c>
    </row>
    <row r="406" spans="1:9" ht="26.1" customHeight="1" x14ac:dyDescent="0.2">
      <c r="A406" s="169" t="s">
        <v>897</v>
      </c>
      <c r="B406" s="136" t="s">
        <v>1240</v>
      </c>
      <c r="C406" s="136" t="s">
        <v>1075</v>
      </c>
      <c r="D406" s="136" t="s">
        <v>450</v>
      </c>
      <c r="E406" s="137" t="s">
        <v>19</v>
      </c>
      <c r="F406" s="144">
        <v>0.05</v>
      </c>
      <c r="G406" s="147">
        <v>73.81</v>
      </c>
      <c r="H406" s="147">
        <v>95.08</v>
      </c>
      <c r="I406" s="277">
        <f t="shared" si="6"/>
        <v>4.75</v>
      </c>
    </row>
    <row r="407" spans="1:9" ht="24" customHeight="1" x14ac:dyDescent="0.2">
      <c r="A407" s="169" t="s">
        <v>896</v>
      </c>
      <c r="B407" s="136" t="s">
        <v>1362</v>
      </c>
      <c r="C407" s="136" t="s">
        <v>1090</v>
      </c>
      <c r="D407" s="136" t="s">
        <v>606</v>
      </c>
      <c r="E407" s="137" t="s">
        <v>19</v>
      </c>
      <c r="F407" s="144">
        <v>0.05</v>
      </c>
      <c r="G407" s="147">
        <v>1914.51</v>
      </c>
      <c r="H407" s="147">
        <v>2466.27</v>
      </c>
      <c r="I407" s="277">
        <f t="shared" si="6"/>
        <v>123.31</v>
      </c>
    </row>
    <row r="408" spans="1:9" ht="24" customHeight="1" x14ac:dyDescent="0.2">
      <c r="A408" s="166" t="s">
        <v>178</v>
      </c>
      <c r="B408" s="133" t="s">
        <v>1071</v>
      </c>
      <c r="C408" s="133"/>
      <c r="D408" s="133" t="s">
        <v>126</v>
      </c>
      <c r="E408" s="134"/>
      <c r="F408" s="143">
        <v>1</v>
      </c>
      <c r="G408" s="146" t="s">
        <v>1072</v>
      </c>
      <c r="H408" s="146">
        <v>7427.58</v>
      </c>
      <c r="I408" s="276">
        <f>SUM(I409:I412)</f>
        <v>7427.58</v>
      </c>
    </row>
    <row r="409" spans="1:9" ht="51.95" customHeight="1" x14ac:dyDescent="0.2">
      <c r="A409" s="169" t="s">
        <v>895</v>
      </c>
      <c r="B409" s="136" t="s">
        <v>1207</v>
      </c>
      <c r="C409" s="136" t="s">
        <v>1075</v>
      </c>
      <c r="D409" s="136" t="s">
        <v>396</v>
      </c>
      <c r="E409" s="137" t="s">
        <v>386</v>
      </c>
      <c r="F409" s="144">
        <v>133.16999999999999</v>
      </c>
      <c r="G409" s="147">
        <v>13.94</v>
      </c>
      <c r="H409" s="147">
        <v>17.95</v>
      </c>
      <c r="I409" s="277">
        <f t="shared" si="6"/>
        <v>2390.4</v>
      </c>
    </row>
    <row r="410" spans="1:9" ht="51.95" customHeight="1" x14ac:dyDescent="0.2">
      <c r="A410" s="169" t="s">
        <v>894</v>
      </c>
      <c r="B410" s="136" t="s">
        <v>1410</v>
      </c>
      <c r="C410" s="136" t="s">
        <v>1090</v>
      </c>
      <c r="D410" s="136" t="s">
        <v>893</v>
      </c>
      <c r="E410" s="137" t="s">
        <v>122</v>
      </c>
      <c r="F410" s="144">
        <v>26.2</v>
      </c>
      <c r="G410" s="147">
        <v>83.33</v>
      </c>
      <c r="H410" s="147">
        <v>107.34</v>
      </c>
      <c r="I410" s="277">
        <f t="shared" si="6"/>
        <v>2812.3</v>
      </c>
    </row>
    <row r="411" spans="1:9" ht="51.95" customHeight="1" x14ac:dyDescent="0.2">
      <c r="A411" s="169" t="s">
        <v>892</v>
      </c>
      <c r="B411" s="136" t="s">
        <v>1411</v>
      </c>
      <c r="C411" s="136" t="s">
        <v>1075</v>
      </c>
      <c r="D411" s="136" t="s">
        <v>891</v>
      </c>
      <c r="E411" s="137" t="s">
        <v>13</v>
      </c>
      <c r="F411" s="144">
        <v>31.68</v>
      </c>
      <c r="G411" s="147">
        <v>45.44</v>
      </c>
      <c r="H411" s="147">
        <v>58.53</v>
      </c>
      <c r="I411" s="277">
        <f t="shared" si="6"/>
        <v>1854.23</v>
      </c>
    </row>
    <row r="412" spans="1:9" ht="26.1" customHeight="1" x14ac:dyDescent="0.2">
      <c r="A412" s="169" t="s">
        <v>890</v>
      </c>
      <c r="B412" s="136" t="s">
        <v>1412</v>
      </c>
      <c r="C412" s="136" t="s">
        <v>1090</v>
      </c>
      <c r="D412" s="136" t="s">
        <v>889</v>
      </c>
      <c r="E412" s="137" t="s">
        <v>13</v>
      </c>
      <c r="F412" s="144">
        <v>31.68</v>
      </c>
      <c r="G412" s="147">
        <v>9.09</v>
      </c>
      <c r="H412" s="147">
        <v>11.7</v>
      </c>
      <c r="I412" s="277">
        <f t="shared" si="6"/>
        <v>370.65</v>
      </c>
    </row>
    <row r="413" spans="1:9" ht="24" customHeight="1" x14ac:dyDescent="0.2">
      <c r="A413" s="166" t="s">
        <v>294</v>
      </c>
      <c r="B413" s="133" t="s">
        <v>1071</v>
      </c>
      <c r="C413" s="133"/>
      <c r="D413" s="133" t="s">
        <v>610</v>
      </c>
      <c r="E413" s="134"/>
      <c r="F413" s="143">
        <v>1</v>
      </c>
      <c r="G413" s="146" t="s">
        <v>1072</v>
      </c>
      <c r="H413" s="146">
        <v>2021.82</v>
      </c>
      <c r="I413" s="276">
        <f>SUM(I414:I416)</f>
        <v>2021.82</v>
      </c>
    </row>
    <row r="414" spans="1:9" ht="51.95" customHeight="1" x14ac:dyDescent="0.2">
      <c r="A414" s="169" t="s">
        <v>888</v>
      </c>
      <c r="B414" s="136" t="s">
        <v>1413</v>
      </c>
      <c r="C414" s="136" t="s">
        <v>1075</v>
      </c>
      <c r="D414" s="136" t="s">
        <v>887</v>
      </c>
      <c r="E414" s="137" t="s">
        <v>13</v>
      </c>
      <c r="F414" s="144">
        <v>6.84</v>
      </c>
      <c r="G414" s="147">
        <v>118.75</v>
      </c>
      <c r="H414" s="147">
        <v>152.97</v>
      </c>
      <c r="I414" s="277">
        <f t="shared" si="6"/>
        <v>1046.31</v>
      </c>
    </row>
    <row r="415" spans="1:9" ht="51.95" customHeight="1" x14ac:dyDescent="0.2">
      <c r="A415" s="169" t="s">
        <v>886</v>
      </c>
      <c r="B415" s="136" t="s">
        <v>1414</v>
      </c>
      <c r="C415" s="136" t="s">
        <v>1075</v>
      </c>
      <c r="D415" s="136" t="s">
        <v>885</v>
      </c>
      <c r="E415" s="137" t="s">
        <v>13</v>
      </c>
      <c r="F415" s="144">
        <v>13.68</v>
      </c>
      <c r="G415" s="147">
        <v>6.94</v>
      </c>
      <c r="H415" s="147">
        <v>8.94</v>
      </c>
      <c r="I415" s="277">
        <f t="shared" si="6"/>
        <v>122.29</v>
      </c>
    </row>
    <row r="416" spans="1:9" ht="39" customHeight="1" x14ac:dyDescent="0.2">
      <c r="A416" s="169" t="s">
        <v>884</v>
      </c>
      <c r="B416" s="136" t="s">
        <v>1415</v>
      </c>
      <c r="C416" s="136" t="s">
        <v>1075</v>
      </c>
      <c r="D416" s="136" t="s">
        <v>883</v>
      </c>
      <c r="E416" s="137" t="s">
        <v>13</v>
      </c>
      <c r="F416" s="144">
        <v>13.68</v>
      </c>
      <c r="G416" s="147">
        <v>48.42</v>
      </c>
      <c r="H416" s="147">
        <v>62.37</v>
      </c>
      <c r="I416" s="277">
        <f t="shared" si="6"/>
        <v>853.22</v>
      </c>
    </row>
    <row r="417" spans="1:11" ht="24" customHeight="1" x14ac:dyDescent="0.2">
      <c r="A417" s="166" t="s">
        <v>882</v>
      </c>
      <c r="B417" s="133" t="s">
        <v>1071</v>
      </c>
      <c r="C417" s="133"/>
      <c r="D417" s="133" t="s">
        <v>199</v>
      </c>
      <c r="E417" s="134"/>
      <c r="F417" s="143">
        <v>1</v>
      </c>
      <c r="G417" s="146" t="s">
        <v>1072</v>
      </c>
      <c r="H417" s="146">
        <v>18921.36</v>
      </c>
      <c r="I417" s="276">
        <f>SUM(I418:I419)</f>
        <v>2372.9899999999998</v>
      </c>
    </row>
    <row r="418" spans="1:11" ht="26.1" customHeight="1" x14ac:dyDescent="0.2">
      <c r="A418" s="169" t="s">
        <v>881</v>
      </c>
      <c r="B418" s="136" t="s">
        <v>1416</v>
      </c>
      <c r="C418" s="136" t="s">
        <v>1090</v>
      </c>
      <c r="D418" s="136" t="s">
        <v>880</v>
      </c>
      <c r="E418" s="137" t="s">
        <v>13</v>
      </c>
      <c r="F418" s="144">
        <v>11</v>
      </c>
      <c r="G418" s="147">
        <v>105.6</v>
      </c>
      <c r="H418" s="147">
        <v>136.03</v>
      </c>
      <c r="I418" s="277">
        <f t="shared" si="6"/>
        <v>1496.33</v>
      </c>
    </row>
    <row r="419" spans="1:11" ht="39" customHeight="1" x14ac:dyDescent="0.2">
      <c r="A419" s="169" t="s">
        <v>879</v>
      </c>
      <c r="B419" s="136" t="s">
        <v>1417</v>
      </c>
      <c r="C419" s="136" t="s">
        <v>1075</v>
      </c>
      <c r="D419" s="136" t="s">
        <v>878</v>
      </c>
      <c r="E419" s="137" t="s">
        <v>19</v>
      </c>
      <c r="F419" s="144">
        <v>0.81</v>
      </c>
      <c r="G419" s="147">
        <v>840.17</v>
      </c>
      <c r="H419" s="147">
        <v>1082.3</v>
      </c>
      <c r="I419" s="277">
        <f t="shared" si="6"/>
        <v>876.66</v>
      </c>
    </row>
    <row r="420" spans="1:11" ht="24" customHeight="1" x14ac:dyDescent="0.2">
      <c r="A420" s="166" t="s">
        <v>1418</v>
      </c>
      <c r="B420" s="133" t="s">
        <v>1071</v>
      </c>
      <c r="C420" s="133"/>
      <c r="D420" s="133" t="s">
        <v>180</v>
      </c>
      <c r="E420" s="134"/>
      <c r="F420" s="143">
        <v>1</v>
      </c>
      <c r="G420" s="146" t="s">
        <v>1072</v>
      </c>
      <c r="H420" s="146">
        <v>88441.57</v>
      </c>
      <c r="I420" s="276">
        <f>SUM(I421:I423)</f>
        <v>88441.57</v>
      </c>
    </row>
    <row r="421" spans="1:11" ht="65.099999999999994" customHeight="1" x14ac:dyDescent="0.2">
      <c r="A421" s="169" t="s">
        <v>1419</v>
      </c>
      <c r="B421" s="136" t="s">
        <v>1420</v>
      </c>
      <c r="C421" s="136" t="s">
        <v>1090</v>
      </c>
      <c r="D421" s="136" t="s">
        <v>181</v>
      </c>
      <c r="E421" s="137" t="s">
        <v>33</v>
      </c>
      <c r="F421" s="144">
        <v>20</v>
      </c>
      <c r="G421" s="147">
        <v>331.19</v>
      </c>
      <c r="H421" s="147">
        <v>426.63</v>
      </c>
      <c r="I421" s="277">
        <f t="shared" si="6"/>
        <v>8532.6</v>
      </c>
    </row>
    <row r="422" spans="1:11" ht="24" customHeight="1" x14ac:dyDescent="0.2">
      <c r="A422" s="169" t="s">
        <v>1421</v>
      </c>
      <c r="B422" s="136" t="s">
        <v>1422</v>
      </c>
      <c r="C422" s="136" t="s">
        <v>1090</v>
      </c>
      <c r="D422" s="136" t="s">
        <v>182</v>
      </c>
      <c r="E422" s="137" t="s">
        <v>183</v>
      </c>
      <c r="F422" s="144">
        <v>5</v>
      </c>
      <c r="G422" s="147">
        <v>582.27</v>
      </c>
      <c r="H422" s="147">
        <v>750.08</v>
      </c>
      <c r="I422" s="277">
        <f t="shared" si="6"/>
        <v>3750.4</v>
      </c>
    </row>
    <row r="423" spans="1:11" ht="39" customHeight="1" x14ac:dyDescent="0.2">
      <c r="A423" s="169" t="s">
        <v>1423</v>
      </c>
      <c r="B423" s="136" t="s">
        <v>1424</v>
      </c>
      <c r="C423" s="136" t="s">
        <v>1090</v>
      </c>
      <c r="D423" s="136" t="s">
        <v>1427</v>
      </c>
      <c r="E423" s="137" t="s">
        <v>13</v>
      </c>
      <c r="F423" s="144">
        <v>240.81</v>
      </c>
      <c r="G423" s="147">
        <v>272.64</v>
      </c>
      <c r="H423" s="147">
        <v>316.26</v>
      </c>
      <c r="I423" s="277">
        <f t="shared" si="6"/>
        <v>76158.570000000007</v>
      </c>
    </row>
    <row r="424" spans="1:11" s="156" customFormat="1" x14ac:dyDescent="0.2">
      <c r="A424" s="278"/>
      <c r="B424" s="152"/>
      <c r="C424" s="152"/>
      <c r="D424" s="152"/>
      <c r="E424" s="153"/>
      <c r="F424" s="154"/>
      <c r="G424" s="155"/>
      <c r="H424" s="155"/>
      <c r="I424" s="279"/>
    </row>
    <row r="425" spans="1:11" x14ac:dyDescent="0.2">
      <c r="A425" s="326"/>
      <c r="B425" s="327"/>
      <c r="C425" s="327"/>
      <c r="D425" s="172"/>
      <c r="E425" s="149"/>
      <c r="F425" s="328" t="s">
        <v>1428</v>
      </c>
      <c r="G425" s="329"/>
      <c r="H425" s="337">
        <f>H428-(I427+I426)</f>
        <v>3145038.75</v>
      </c>
      <c r="I425" s="338"/>
    </row>
    <row r="426" spans="1:11" ht="14.25" customHeight="1" x14ac:dyDescent="0.2">
      <c r="A426" s="170"/>
      <c r="B426" s="149"/>
      <c r="C426" s="149"/>
      <c r="D426" s="172"/>
      <c r="E426" s="149"/>
      <c r="F426" s="333" t="s">
        <v>1429</v>
      </c>
      <c r="G426" s="333"/>
      <c r="H426" s="157">
        <v>0.16</v>
      </c>
      <c r="I426" s="280">
        <f>TRUNC(I423*0.16,2)</f>
        <v>12185.37</v>
      </c>
    </row>
    <row r="427" spans="1:11" x14ac:dyDescent="0.2">
      <c r="A427" s="326"/>
      <c r="B427" s="327"/>
      <c r="C427" s="327"/>
      <c r="D427" s="172"/>
      <c r="E427" s="149"/>
      <c r="F427" s="333"/>
      <c r="G427" s="333"/>
      <c r="H427" s="157">
        <v>0.28820000000000001</v>
      </c>
      <c r="I427" s="280">
        <f>TRUNC((H428-I423)*0.2882,2)</f>
        <v>1247489.58</v>
      </c>
    </row>
    <row r="428" spans="1:11" x14ac:dyDescent="0.2">
      <c r="A428" s="326"/>
      <c r="B428" s="327"/>
      <c r="C428" s="327"/>
      <c r="D428" s="172"/>
      <c r="E428" s="149"/>
      <c r="F428" s="328" t="s">
        <v>1430</v>
      </c>
      <c r="G428" s="329"/>
      <c r="H428" s="330">
        <f>I7+I12+I18+I109+I203+I260+I396+I400+I420</f>
        <v>4404713.7</v>
      </c>
      <c r="I428" s="331"/>
    </row>
    <row r="429" spans="1:11" ht="60" customHeight="1" x14ac:dyDescent="0.2">
      <c r="A429" s="173"/>
      <c r="B429" s="150"/>
      <c r="C429" s="150"/>
      <c r="D429" s="150"/>
      <c r="E429" s="150"/>
      <c r="F429" s="150"/>
      <c r="G429" s="150"/>
      <c r="H429" s="150"/>
      <c r="I429" s="281"/>
      <c r="K429">
        <v>4404713.7</v>
      </c>
    </row>
    <row r="430" spans="1:11" ht="69.95" customHeight="1" thickBot="1" x14ac:dyDescent="0.25">
      <c r="A430" s="290" t="s">
        <v>184</v>
      </c>
      <c r="B430" s="291"/>
      <c r="C430" s="291"/>
      <c r="D430" s="291"/>
      <c r="E430" s="291"/>
      <c r="F430" s="291"/>
      <c r="G430" s="291"/>
      <c r="H430" s="291"/>
      <c r="I430" s="332"/>
    </row>
  </sheetData>
  <mergeCells count="15">
    <mergeCell ref="C1:D1"/>
    <mergeCell ref="C2:D2"/>
    <mergeCell ref="E4:F4"/>
    <mergeCell ref="G1:I1"/>
    <mergeCell ref="G2:I4"/>
    <mergeCell ref="A5:I5"/>
    <mergeCell ref="A425:C425"/>
    <mergeCell ref="F425:G425"/>
    <mergeCell ref="H425:I425"/>
    <mergeCell ref="A427:C427"/>
    <mergeCell ref="A428:C428"/>
    <mergeCell ref="F428:G428"/>
    <mergeCell ref="H428:I428"/>
    <mergeCell ref="A430:I430"/>
    <mergeCell ref="F426:G427"/>
  </mergeCells>
  <phoneticPr fontId="17" type="noConversion"/>
  <pageMargins left="0.25" right="0.25" top="0.75" bottom="0.75" header="0.3" footer="0.3"/>
  <pageSetup paperSize="9" scale="61" fitToHeight="0" orientation="portrait" r:id="rId1"/>
  <headerFooter>
    <oddHeader>&amp;L &amp;CServiço Social do Comercio
CNPJ: 03.779.012/0001-54 &amp;R</oddHeader>
    <oddFooter>&amp;L &amp;C  -  -  / TO
 / obras@sescto.com.br &amp;R</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515"/>
  <sheetViews>
    <sheetView showOutlineSymbols="0" showWhiteSpace="0" zoomScale="98" zoomScaleNormal="98" workbookViewId="0">
      <selection activeCell="B2333" sqref="B2333"/>
    </sheetView>
  </sheetViews>
  <sheetFormatPr defaultRowHeight="14.25" x14ac:dyDescent="0.2"/>
  <cols>
    <col min="1" max="2" width="18.625" customWidth="1"/>
    <col min="3" max="4" width="18.625" style="26" customWidth="1"/>
    <col min="5" max="5" width="18.625" style="8" customWidth="1"/>
    <col min="6" max="6" width="18.625" style="24" customWidth="1"/>
  </cols>
  <sheetData>
    <row r="1" spans="1:11" s="55" customFormat="1" ht="15" customHeight="1" x14ac:dyDescent="0.2">
      <c r="A1" s="110"/>
      <c r="B1" s="339" t="s">
        <v>979</v>
      </c>
      <c r="C1" s="340"/>
      <c r="D1" s="111" t="s">
        <v>977</v>
      </c>
      <c r="E1" s="112" t="s">
        <v>976</v>
      </c>
      <c r="F1" s="131"/>
    </row>
    <row r="2" spans="1:11" s="55" customFormat="1" ht="14.25" customHeight="1" x14ac:dyDescent="0.2">
      <c r="A2" s="113"/>
      <c r="B2" s="341" t="s">
        <v>975</v>
      </c>
      <c r="C2" s="342"/>
      <c r="D2" s="114" t="s">
        <v>974</v>
      </c>
      <c r="E2" s="343" t="s">
        <v>973</v>
      </c>
      <c r="F2" s="459"/>
    </row>
    <row r="3" spans="1:11" s="55" customFormat="1" ht="14.25" customHeight="1" x14ac:dyDescent="0.2">
      <c r="A3" s="115"/>
      <c r="B3" s="341"/>
      <c r="C3" s="342"/>
      <c r="D3" s="116" t="s">
        <v>978</v>
      </c>
      <c r="E3" s="343"/>
      <c r="F3" s="459"/>
    </row>
    <row r="4" spans="1:11" s="55" customFormat="1" ht="25.5" x14ac:dyDescent="0.2">
      <c r="A4" s="117"/>
      <c r="B4" s="118"/>
      <c r="C4" s="119"/>
      <c r="D4" s="120" t="s">
        <v>1024</v>
      </c>
      <c r="E4" s="460"/>
      <c r="F4" s="461"/>
    </row>
    <row r="5" spans="1:11" ht="15" x14ac:dyDescent="0.25">
      <c r="A5" s="334" t="s">
        <v>185</v>
      </c>
      <c r="B5" s="335"/>
      <c r="C5" s="335"/>
      <c r="D5" s="335"/>
      <c r="E5" s="335"/>
      <c r="F5" s="336"/>
    </row>
    <row r="6" spans="1:11" ht="15.75" thickBot="1" x14ac:dyDescent="0.25">
      <c r="A6" s="121" t="s">
        <v>0</v>
      </c>
      <c r="B6" s="414" t="s">
        <v>1</v>
      </c>
      <c r="C6" s="415"/>
      <c r="D6" s="416"/>
      <c r="E6" s="122" t="s">
        <v>2</v>
      </c>
      <c r="F6" s="123" t="s">
        <v>3</v>
      </c>
    </row>
    <row r="7" spans="1:11" ht="24" customHeight="1" thickBot="1" x14ac:dyDescent="0.25">
      <c r="A7" s="57" t="s">
        <v>4</v>
      </c>
      <c r="B7" s="388" t="s">
        <v>5</v>
      </c>
      <c r="C7" s="388"/>
      <c r="D7" s="388"/>
      <c r="E7" s="6"/>
      <c r="F7" s="58">
        <v>1</v>
      </c>
      <c r="K7" s="56"/>
    </row>
    <row r="8" spans="1:11" ht="24" customHeight="1" x14ac:dyDescent="0.2">
      <c r="A8" s="57" t="s">
        <v>6</v>
      </c>
      <c r="B8" s="388" t="s">
        <v>7</v>
      </c>
      <c r="C8" s="388"/>
      <c r="D8" s="388"/>
      <c r="E8" s="6"/>
      <c r="F8" s="58">
        <v>1</v>
      </c>
    </row>
    <row r="9" spans="1:11" ht="39" customHeight="1" x14ac:dyDescent="0.2">
      <c r="A9" s="59" t="s">
        <v>8</v>
      </c>
      <c r="B9" s="387" t="s">
        <v>9</v>
      </c>
      <c r="C9" s="387"/>
      <c r="D9" s="387"/>
      <c r="E9" s="7" t="s">
        <v>10</v>
      </c>
      <c r="F9" s="60">
        <f>D12</f>
        <v>49.51</v>
      </c>
    </row>
    <row r="10" spans="1:11" s="1" customFormat="1" ht="15" x14ac:dyDescent="0.2">
      <c r="A10" s="19"/>
      <c r="B10" s="50"/>
      <c r="C10" s="50"/>
      <c r="D10" s="50"/>
      <c r="E10" s="50"/>
      <c r="F10" s="20"/>
    </row>
    <row r="11" spans="1:11" s="1" customFormat="1" ht="15" x14ac:dyDescent="0.2">
      <c r="A11" s="21" t="s">
        <v>186</v>
      </c>
      <c r="B11" s="2" t="s">
        <v>187</v>
      </c>
      <c r="C11" s="2" t="s">
        <v>188</v>
      </c>
      <c r="D11" s="2" t="s">
        <v>192</v>
      </c>
      <c r="E11" s="47"/>
      <c r="F11" s="20"/>
    </row>
    <row r="12" spans="1:11" s="1" customFormat="1" ht="32.25" customHeight="1" x14ac:dyDescent="0.2">
      <c r="A12" s="353" t="s">
        <v>191</v>
      </c>
      <c r="B12" s="3">
        <f>13.1</f>
        <v>13.1</v>
      </c>
      <c r="C12" s="3">
        <f>5.43+7.05</f>
        <v>12.48</v>
      </c>
      <c r="D12" s="417">
        <f>(B12+B13+C12+C13)+4</f>
        <v>49.51</v>
      </c>
      <c r="E12" s="419" t="s">
        <v>193</v>
      </c>
      <c r="F12" s="400"/>
    </row>
    <row r="13" spans="1:11" s="1" customFormat="1" ht="15" x14ac:dyDescent="0.2">
      <c r="A13" s="354"/>
      <c r="B13" s="3">
        <f>8.13+1.2</f>
        <v>9.33</v>
      </c>
      <c r="C13" s="3">
        <v>10.6</v>
      </c>
      <c r="D13" s="418"/>
      <c r="E13" s="47"/>
      <c r="F13" s="20"/>
    </row>
    <row r="14" spans="1:11" s="1" customFormat="1" ht="15" x14ac:dyDescent="0.2">
      <c r="A14" s="19"/>
      <c r="B14" s="50"/>
      <c r="C14" s="50"/>
      <c r="D14" s="50"/>
      <c r="E14" s="50"/>
      <c r="F14" s="20"/>
    </row>
    <row r="15" spans="1:11" ht="39" customHeight="1" x14ac:dyDescent="0.2">
      <c r="A15" s="59" t="s">
        <v>11</v>
      </c>
      <c r="B15" s="387" t="s">
        <v>12</v>
      </c>
      <c r="C15" s="387"/>
      <c r="D15" s="387"/>
      <c r="E15" s="7" t="s">
        <v>13</v>
      </c>
      <c r="F15" s="60">
        <f>D18</f>
        <v>3</v>
      </c>
    </row>
    <row r="16" spans="1:11" s="1" customFormat="1" ht="15" x14ac:dyDescent="0.2">
      <c r="A16" s="19"/>
      <c r="B16" s="50"/>
      <c r="C16" s="50"/>
      <c r="D16" s="50"/>
      <c r="E16" s="50"/>
      <c r="F16" s="61"/>
    </row>
    <row r="17" spans="1:6" s="1" customFormat="1" ht="15" x14ac:dyDescent="0.2">
      <c r="A17" s="62"/>
      <c r="B17" s="2" t="s">
        <v>187</v>
      </c>
      <c r="C17" s="2" t="s">
        <v>188</v>
      </c>
      <c r="D17" s="2" t="s">
        <v>194</v>
      </c>
      <c r="E17" s="47"/>
      <c r="F17" s="61"/>
    </row>
    <row r="18" spans="1:6" s="1" customFormat="1" ht="15" x14ac:dyDescent="0.2">
      <c r="A18" s="19"/>
      <c r="B18" s="3">
        <v>2</v>
      </c>
      <c r="C18" s="3">
        <v>1.5</v>
      </c>
      <c r="D18" s="4">
        <f>B18*C18</f>
        <v>3</v>
      </c>
      <c r="E18" s="47"/>
      <c r="F18" s="61"/>
    </row>
    <row r="19" spans="1:6" s="1" customFormat="1" ht="15" x14ac:dyDescent="0.2">
      <c r="A19" s="19"/>
      <c r="B19" s="50"/>
      <c r="C19" s="50"/>
      <c r="D19" s="50"/>
      <c r="E19" s="50"/>
      <c r="F19" s="61"/>
    </row>
    <row r="20" spans="1:6" ht="39" customHeight="1" x14ac:dyDescent="0.2">
      <c r="A20" s="59" t="s">
        <v>14</v>
      </c>
      <c r="B20" s="387" t="s">
        <v>15</v>
      </c>
      <c r="C20" s="387"/>
      <c r="D20" s="387"/>
      <c r="E20" s="7" t="s">
        <v>16</v>
      </c>
      <c r="F20" s="60">
        <v>1</v>
      </c>
    </row>
    <row r="21" spans="1:6" s="1" customFormat="1" ht="15" x14ac:dyDescent="0.2">
      <c r="A21" s="19"/>
      <c r="B21" s="50"/>
      <c r="C21" s="50"/>
      <c r="D21" s="50"/>
      <c r="E21" s="50"/>
      <c r="F21" s="61"/>
    </row>
    <row r="22" spans="1:6" ht="26.1" customHeight="1" x14ac:dyDescent="0.2">
      <c r="A22" s="59" t="s">
        <v>17</v>
      </c>
      <c r="B22" s="387" t="s">
        <v>18</v>
      </c>
      <c r="C22" s="387"/>
      <c r="D22" s="387"/>
      <c r="E22" s="7" t="s">
        <v>19</v>
      </c>
      <c r="F22" s="60">
        <f>D25</f>
        <v>80.541499999999999</v>
      </c>
    </row>
    <row r="23" spans="1:6" s="1" customFormat="1" ht="15" x14ac:dyDescent="0.2">
      <c r="A23" s="19"/>
      <c r="B23" s="50"/>
      <c r="C23" s="50"/>
      <c r="D23" s="50"/>
      <c r="E23" s="50"/>
      <c r="F23" s="61"/>
    </row>
    <row r="24" spans="1:6" s="1" customFormat="1" ht="15" x14ac:dyDescent="0.2">
      <c r="A24" s="21" t="s">
        <v>186</v>
      </c>
      <c r="B24" s="2" t="s">
        <v>196</v>
      </c>
      <c r="C24" s="2" t="s">
        <v>189</v>
      </c>
      <c r="D24" s="4" t="s">
        <v>190</v>
      </c>
      <c r="E24" s="47"/>
      <c r="F24" s="61"/>
    </row>
    <row r="25" spans="1:6" s="1" customFormat="1" ht="15" x14ac:dyDescent="0.2">
      <c r="A25" s="22" t="s">
        <v>191</v>
      </c>
      <c r="B25" s="3">
        <f>123.91</f>
        <v>123.91</v>
      </c>
      <c r="C25" s="3">
        <v>0.65</v>
      </c>
      <c r="D25" s="4">
        <f>B25*C25</f>
        <v>80.541499999999999</v>
      </c>
      <c r="E25" s="47"/>
      <c r="F25" s="61"/>
    </row>
    <row r="26" spans="1:6" s="1" customFormat="1" ht="15" x14ac:dyDescent="0.2">
      <c r="A26" s="19"/>
      <c r="B26" s="50"/>
      <c r="C26" s="50"/>
      <c r="D26" s="50"/>
      <c r="E26" s="50"/>
      <c r="F26" s="61"/>
    </row>
    <row r="27" spans="1:6" ht="39" customHeight="1" x14ac:dyDescent="0.2">
      <c r="A27" s="59" t="s">
        <v>20</v>
      </c>
      <c r="B27" s="387" t="s">
        <v>21</v>
      </c>
      <c r="C27" s="387"/>
      <c r="D27" s="387"/>
      <c r="E27" s="7" t="s">
        <v>13</v>
      </c>
      <c r="F27" s="60">
        <f>D30</f>
        <v>371.73</v>
      </c>
    </row>
    <row r="28" spans="1:6" s="1" customFormat="1" ht="15" x14ac:dyDescent="0.2">
      <c r="A28" s="19"/>
      <c r="B28" s="50"/>
      <c r="C28" s="50"/>
      <c r="D28" s="50"/>
      <c r="E28" s="50"/>
      <c r="F28" s="61"/>
    </row>
    <row r="29" spans="1:6" s="1" customFormat="1" ht="15" x14ac:dyDescent="0.2">
      <c r="A29" s="21" t="s">
        <v>186</v>
      </c>
      <c r="B29" s="2" t="s">
        <v>194</v>
      </c>
      <c r="C29" s="2" t="s">
        <v>197</v>
      </c>
      <c r="D29" s="4" t="s">
        <v>198</v>
      </c>
      <c r="E29" s="47"/>
      <c r="F29" s="61"/>
    </row>
    <row r="30" spans="1:6" s="1" customFormat="1" ht="15" x14ac:dyDescent="0.2">
      <c r="A30" s="22" t="s">
        <v>191</v>
      </c>
      <c r="B30" s="3">
        <f>123.91</f>
        <v>123.91</v>
      </c>
      <c r="C30" s="3">
        <v>3</v>
      </c>
      <c r="D30" s="4">
        <f>B30*C30</f>
        <v>371.73</v>
      </c>
      <c r="E30" s="47"/>
      <c r="F30" s="61"/>
    </row>
    <row r="31" spans="1:6" s="1" customFormat="1" ht="15" x14ac:dyDescent="0.2">
      <c r="A31" s="19"/>
      <c r="B31" s="50"/>
      <c r="C31" s="50"/>
      <c r="D31" s="50"/>
      <c r="E31" s="50"/>
      <c r="F31" s="61"/>
    </row>
    <row r="32" spans="1:6" ht="24" customHeight="1" x14ac:dyDescent="0.2">
      <c r="A32" s="57" t="s">
        <v>22</v>
      </c>
      <c r="B32" s="388" t="s">
        <v>23</v>
      </c>
      <c r="C32" s="388"/>
      <c r="D32" s="388"/>
      <c r="E32" s="6"/>
      <c r="F32" s="58">
        <v>1</v>
      </c>
    </row>
    <row r="33" spans="1:6" ht="24" customHeight="1" x14ac:dyDescent="0.2">
      <c r="A33" s="57" t="s">
        <v>24</v>
      </c>
      <c r="B33" s="388" t="s">
        <v>25</v>
      </c>
      <c r="C33" s="388"/>
      <c r="D33" s="388"/>
      <c r="E33" s="6"/>
      <c r="F33" s="58">
        <v>1</v>
      </c>
    </row>
    <row r="34" spans="1:6" ht="39" customHeight="1" x14ac:dyDescent="0.2">
      <c r="A34" s="59" t="s">
        <v>26</v>
      </c>
      <c r="B34" s="387" t="s">
        <v>27</v>
      </c>
      <c r="C34" s="387"/>
      <c r="D34" s="387"/>
      <c r="E34" s="7" t="s">
        <v>13</v>
      </c>
      <c r="F34" s="60">
        <f>F92</f>
        <v>1518.4499999999998</v>
      </c>
    </row>
    <row r="35" spans="1:6" s="1" customFormat="1" ht="15" x14ac:dyDescent="0.2">
      <c r="A35" s="19"/>
      <c r="B35" s="50"/>
      <c r="C35" s="50"/>
      <c r="D35" s="50"/>
      <c r="E35" s="50"/>
      <c r="F35" s="61"/>
    </row>
    <row r="36" spans="1:6" s="1" customFormat="1" ht="15" x14ac:dyDescent="0.2">
      <c r="A36" s="63" t="s">
        <v>201</v>
      </c>
      <c r="B36" s="2" t="s">
        <v>186</v>
      </c>
      <c r="C36" s="2" t="s">
        <v>187</v>
      </c>
      <c r="D36" s="2" t="s">
        <v>188</v>
      </c>
      <c r="E36" s="2" t="s">
        <v>194</v>
      </c>
      <c r="F36" s="28" t="s">
        <v>195</v>
      </c>
    </row>
    <row r="37" spans="1:6" s="1" customFormat="1" ht="15" x14ac:dyDescent="0.2">
      <c r="A37" s="381" t="s">
        <v>199</v>
      </c>
      <c r="B37" s="3" t="s">
        <v>202</v>
      </c>
      <c r="C37" s="3"/>
      <c r="D37" s="3"/>
      <c r="E37" s="5">
        <v>40.76</v>
      </c>
      <c r="F37" s="405">
        <f>SUM(E37:E54)</f>
        <v>560.41</v>
      </c>
    </row>
    <row r="38" spans="1:6" s="1" customFormat="1" ht="15" x14ac:dyDescent="0.2">
      <c r="A38" s="382"/>
      <c r="B38" s="3" t="s">
        <v>203</v>
      </c>
      <c r="C38" s="3"/>
      <c r="D38" s="3"/>
      <c r="E38" s="5">
        <v>40</v>
      </c>
      <c r="F38" s="406"/>
    </row>
    <row r="39" spans="1:6" s="1" customFormat="1" ht="15" x14ac:dyDescent="0.2">
      <c r="A39" s="382"/>
      <c r="B39" s="3" t="s">
        <v>204</v>
      </c>
      <c r="C39" s="3"/>
      <c r="D39" s="3"/>
      <c r="E39" s="5">
        <v>40</v>
      </c>
      <c r="F39" s="406"/>
    </row>
    <row r="40" spans="1:6" s="1" customFormat="1" ht="15" x14ac:dyDescent="0.2">
      <c r="A40" s="382"/>
      <c r="B40" s="3" t="s">
        <v>205</v>
      </c>
      <c r="C40" s="3"/>
      <c r="D40" s="3"/>
      <c r="E40" s="5">
        <v>39.200000000000003</v>
      </c>
      <c r="F40" s="406"/>
    </row>
    <row r="41" spans="1:6" s="1" customFormat="1" ht="15" x14ac:dyDescent="0.2">
      <c r="A41" s="382"/>
      <c r="B41" s="3" t="s">
        <v>206</v>
      </c>
      <c r="C41" s="3"/>
      <c r="D41" s="3"/>
      <c r="E41" s="5">
        <v>39.89</v>
      </c>
      <c r="F41" s="406"/>
    </row>
    <row r="42" spans="1:6" s="1" customFormat="1" ht="15" x14ac:dyDescent="0.2">
      <c r="A42" s="382"/>
      <c r="B42" s="3" t="s">
        <v>207</v>
      </c>
      <c r="C42" s="3"/>
      <c r="D42" s="3"/>
      <c r="E42" s="5">
        <v>39.159999999999997</v>
      </c>
      <c r="F42" s="406"/>
    </row>
    <row r="43" spans="1:6" s="1" customFormat="1" ht="15" x14ac:dyDescent="0.2">
      <c r="A43" s="382"/>
      <c r="B43" s="3" t="s">
        <v>208</v>
      </c>
      <c r="C43" s="3"/>
      <c r="D43" s="3"/>
      <c r="E43" s="5">
        <v>165.31</v>
      </c>
      <c r="F43" s="406"/>
    </row>
    <row r="44" spans="1:6" s="1" customFormat="1" ht="15" x14ac:dyDescent="0.2">
      <c r="A44" s="382"/>
      <c r="B44" s="3" t="s">
        <v>209</v>
      </c>
      <c r="C44" s="3"/>
      <c r="D44" s="3"/>
      <c r="E44" s="5">
        <v>10.17</v>
      </c>
      <c r="F44" s="406"/>
    </row>
    <row r="45" spans="1:6" s="1" customFormat="1" ht="15" x14ac:dyDescent="0.2">
      <c r="A45" s="382"/>
      <c r="B45" s="3" t="s">
        <v>210</v>
      </c>
      <c r="C45" s="3"/>
      <c r="D45" s="3"/>
      <c r="E45" s="5">
        <v>10.32</v>
      </c>
      <c r="F45" s="406"/>
    </row>
    <row r="46" spans="1:6" s="1" customFormat="1" ht="15" x14ac:dyDescent="0.2">
      <c r="A46" s="382"/>
      <c r="B46" s="3" t="s">
        <v>211</v>
      </c>
      <c r="C46" s="3"/>
      <c r="D46" s="3"/>
      <c r="E46" s="5">
        <v>11.92</v>
      </c>
      <c r="F46" s="406"/>
    </row>
    <row r="47" spans="1:6" s="1" customFormat="1" ht="15" x14ac:dyDescent="0.2">
      <c r="A47" s="382"/>
      <c r="B47" s="3" t="s">
        <v>212</v>
      </c>
      <c r="C47" s="3"/>
      <c r="D47" s="3"/>
      <c r="E47" s="5">
        <v>1.48</v>
      </c>
      <c r="F47" s="406"/>
    </row>
    <row r="48" spans="1:6" s="1" customFormat="1" ht="15" x14ac:dyDescent="0.2">
      <c r="A48" s="382"/>
      <c r="B48" s="3" t="s">
        <v>212</v>
      </c>
      <c r="C48" s="3"/>
      <c r="D48" s="3"/>
      <c r="E48" s="5">
        <v>1.48</v>
      </c>
      <c r="F48" s="406"/>
    </row>
    <row r="49" spans="1:6" s="1" customFormat="1" ht="15" x14ac:dyDescent="0.2">
      <c r="A49" s="382"/>
      <c r="B49" s="3" t="s">
        <v>213</v>
      </c>
      <c r="C49" s="3"/>
      <c r="D49" s="3"/>
      <c r="E49" s="5">
        <v>10.23</v>
      </c>
      <c r="F49" s="406"/>
    </row>
    <row r="50" spans="1:6" s="1" customFormat="1" ht="15" x14ac:dyDescent="0.2">
      <c r="A50" s="382"/>
      <c r="B50" s="3" t="s">
        <v>214</v>
      </c>
      <c r="C50" s="3"/>
      <c r="D50" s="3"/>
      <c r="E50" s="5">
        <v>18</v>
      </c>
      <c r="F50" s="406"/>
    </row>
    <row r="51" spans="1:6" s="1" customFormat="1" ht="15" x14ac:dyDescent="0.2">
      <c r="A51" s="382"/>
      <c r="B51" s="3" t="s">
        <v>215</v>
      </c>
      <c r="C51" s="3"/>
      <c r="D51" s="3"/>
      <c r="E51" s="5">
        <v>4.12</v>
      </c>
      <c r="F51" s="406"/>
    </row>
    <row r="52" spans="1:6" s="1" customFormat="1" ht="15" x14ac:dyDescent="0.2">
      <c r="A52" s="382"/>
      <c r="B52" s="3" t="s">
        <v>216</v>
      </c>
      <c r="C52" s="3"/>
      <c r="D52" s="3"/>
      <c r="E52" s="5">
        <v>4.12</v>
      </c>
      <c r="F52" s="406"/>
    </row>
    <row r="53" spans="1:6" s="1" customFormat="1" ht="15" x14ac:dyDescent="0.2">
      <c r="A53" s="382"/>
      <c r="B53" s="3" t="s">
        <v>221</v>
      </c>
      <c r="C53" s="3"/>
      <c r="D53" s="3"/>
      <c r="E53" s="5">
        <v>28.65</v>
      </c>
      <c r="F53" s="406"/>
    </row>
    <row r="54" spans="1:6" s="1" customFormat="1" ht="15" x14ac:dyDescent="0.2">
      <c r="A54" s="383"/>
      <c r="B54" s="3" t="s">
        <v>217</v>
      </c>
      <c r="C54" s="3"/>
      <c r="D54" s="3"/>
      <c r="E54" s="5">
        <v>55.6</v>
      </c>
      <c r="F54" s="407"/>
    </row>
    <row r="55" spans="1:6" s="1" customFormat="1" ht="15" x14ac:dyDescent="0.2">
      <c r="A55" s="65" t="s">
        <v>201</v>
      </c>
      <c r="B55" s="2" t="s">
        <v>186</v>
      </c>
      <c r="C55" s="2" t="s">
        <v>192</v>
      </c>
      <c r="D55" s="2" t="s">
        <v>189</v>
      </c>
      <c r="E55" s="2" t="s">
        <v>194</v>
      </c>
      <c r="F55" s="28" t="s">
        <v>195</v>
      </c>
    </row>
    <row r="56" spans="1:6" s="1" customFormat="1" ht="15" x14ac:dyDescent="0.2">
      <c r="A56" s="380" t="s">
        <v>200</v>
      </c>
      <c r="B56" s="3" t="s">
        <v>218</v>
      </c>
      <c r="C56" s="3">
        <f>19.23*2</f>
        <v>38.46</v>
      </c>
      <c r="D56" s="3">
        <v>1</v>
      </c>
      <c r="E56" s="5">
        <f>C56*D56</f>
        <v>38.46</v>
      </c>
      <c r="F56" s="405">
        <f>SUM(E56:E62)</f>
        <v>203.16000000000003</v>
      </c>
    </row>
    <row r="57" spans="1:6" s="1" customFormat="1" ht="15" x14ac:dyDescent="0.2">
      <c r="A57" s="380"/>
      <c r="B57" s="3" t="s">
        <v>212</v>
      </c>
      <c r="C57" s="3">
        <v>4.9000000000000004</v>
      </c>
      <c r="D57" s="3">
        <v>3</v>
      </c>
      <c r="E57" s="5">
        <f t="shared" ref="E57:E62" si="0">C57*D57</f>
        <v>14.700000000000001</v>
      </c>
      <c r="F57" s="406"/>
    </row>
    <row r="58" spans="1:6" s="1" customFormat="1" ht="15" x14ac:dyDescent="0.2">
      <c r="A58" s="380"/>
      <c r="B58" s="3" t="s">
        <v>212</v>
      </c>
      <c r="C58" s="3">
        <v>4.9000000000000004</v>
      </c>
      <c r="D58" s="3">
        <v>3</v>
      </c>
      <c r="E58" s="5">
        <f t="shared" si="0"/>
        <v>14.700000000000001</v>
      </c>
      <c r="F58" s="406"/>
    </row>
    <row r="59" spans="1:6" s="1" customFormat="1" ht="15" x14ac:dyDescent="0.2">
      <c r="A59" s="380"/>
      <c r="B59" s="3" t="s">
        <v>215</v>
      </c>
      <c r="C59" s="3">
        <v>8.65</v>
      </c>
      <c r="D59" s="3">
        <v>3</v>
      </c>
      <c r="E59" s="5">
        <f t="shared" si="0"/>
        <v>25.950000000000003</v>
      </c>
      <c r="F59" s="406"/>
    </row>
    <row r="60" spans="1:6" s="1" customFormat="1" ht="15" x14ac:dyDescent="0.2">
      <c r="A60" s="380"/>
      <c r="B60" s="3" t="s">
        <v>216</v>
      </c>
      <c r="C60" s="3">
        <v>8.65</v>
      </c>
      <c r="D60" s="3">
        <v>3</v>
      </c>
      <c r="E60" s="5">
        <f t="shared" si="0"/>
        <v>25.950000000000003</v>
      </c>
      <c r="F60" s="406"/>
    </row>
    <row r="61" spans="1:6" s="1" customFormat="1" ht="15" x14ac:dyDescent="0.2">
      <c r="A61" s="380"/>
      <c r="B61" s="3" t="s">
        <v>209</v>
      </c>
      <c r="C61" s="3">
        <v>13.9</v>
      </c>
      <c r="D61" s="3">
        <v>3</v>
      </c>
      <c r="E61" s="5">
        <f t="shared" si="0"/>
        <v>41.7</v>
      </c>
      <c r="F61" s="406"/>
    </row>
    <row r="62" spans="1:6" s="1" customFormat="1" ht="15" x14ac:dyDescent="0.2">
      <c r="A62" s="380"/>
      <c r="B62" s="3" t="s">
        <v>210</v>
      </c>
      <c r="C62" s="3">
        <v>13.9</v>
      </c>
      <c r="D62" s="3">
        <v>3</v>
      </c>
      <c r="E62" s="5">
        <f t="shared" si="0"/>
        <v>41.7</v>
      </c>
      <c r="F62" s="407"/>
    </row>
    <row r="63" spans="1:6" s="1" customFormat="1" ht="15" x14ac:dyDescent="0.2">
      <c r="A63" s="19"/>
      <c r="B63" s="50"/>
      <c r="C63" s="50"/>
      <c r="D63" s="50"/>
      <c r="E63" s="50"/>
      <c r="F63" s="61"/>
    </row>
    <row r="64" spans="1:6" s="1" customFormat="1" ht="15" x14ac:dyDescent="0.2">
      <c r="A64" s="63" t="s">
        <v>219</v>
      </c>
      <c r="B64" s="2" t="s">
        <v>186</v>
      </c>
      <c r="C64" s="2" t="s">
        <v>187</v>
      </c>
      <c r="D64" s="2" t="s">
        <v>188</v>
      </c>
      <c r="E64" s="2" t="s">
        <v>194</v>
      </c>
      <c r="F64" s="28" t="s">
        <v>195</v>
      </c>
    </row>
    <row r="65" spans="1:6" s="1" customFormat="1" ht="15" x14ac:dyDescent="0.2">
      <c r="A65" s="381" t="s">
        <v>199</v>
      </c>
      <c r="B65" s="3" t="s">
        <v>202</v>
      </c>
      <c r="C65" s="3"/>
      <c r="D65" s="3"/>
      <c r="E65" s="5">
        <v>39.200000000000003</v>
      </c>
      <c r="F65" s="405">
        <f>SUM(E65:E82)</f>
        <v>524.01</v>
      </c>
    </row>
    <row r="66" spans="1:6" s="1" customFormat="1" ht="15" x14ac:dyDescent="0.2">
      <c r="A66" s="382"/>
      <c r="B66" s="3" t="s">
        <v>203</v>
      </c>
      <c r="C66" s="3"/>
      <c r="D66" s="3"/>
      <c r="E66" s="5">
        <v>39.200000000000003</v>
      </c>
      <c r="F66" s="406"/>
    </row>
    <row r="67" spans="1:6" s="1" customFormat="1" ht="15" x14ac:dyDescent="0.2">
      <c r="A67" s="382"/>
      <c r="B67" s="3" t="s">
        <v>204</v>
      </c>
      <c r="C67" s="3"/>
      <c r="D67" s="3"/>
      <c r="E67" s="5">
        <v>40.799999999999997</v>
      </c>
      <c r="F67" s="406"/>
    </row>
    <row r="68" spans="1:6" s="1" customFormat="1" ht="15" x14ac:dyDescent="0.2">
      <c r="A68" s="382"/>
      <c r="B68" s="3" t="s">
        <v>205</v>
      </c>
      <c r="C68" s="3"/>
      <c r="D68" s="3"/>
      <c r="E68" s="5">
        <v>40.799999999999997</v>
      </c>
      <c r="F68" s="406"/>
    </row>
    <row r="69" spans="1:6" s="1" customFormat="1" ht="15" x14ac:dyDescent="0.2">
      <c r="A69" s="382"/>
      <c r="B69" s="3" t="s">
        <v>206</v>
      </c>
      <c r="C69" s="3"/>
      <c r="D69" s="3"/>
      <c r="E69" s="5">
        <v>39.96</v>
      </c>
      <c r="F69" s="406"/>
    </row>
    <row r="70" spans="1:6" s="1" customFormat="1" ht="15" x14ac:dyDescent="0.2">
      <c r="A70" s="382"/>
      <c r="B70" s="3" t="s">
        <v>207</v>
      </c>
      <c r="C70" s="3"/>
      <c r="D70" s="3"/>
      <c r="E70" s="5">
        <v>39.96</v>
      </c>
      <c r="F70" s="406"/>
    </row>
    <row r="71" spans="1:6" s="1" customFormat="1" ht="15" x14ac:dyDescent="0.2">
      <c r="A71" s="382"/>
      <c r="B71" s="3" t="s">
        <v>208</v>
      </c>
      <c r="C71" s="3"/>
      <c r="D71" s="3"/>
      <c r="E71" s="5">
        <v>116.27</v>
      </c>
      <c r="F71" s="406"/>
    </row>
    <row r="72" spans="1:6" s="1" customFormat="1" ht="15" x14ac:dyDescent="0.2">
      <c r="A72" s="382"/>
      <c r="B72" s="3" t="s">
        <v>209</v>
      </c>
      <c r="C72" s="3"/>
      <c r="D72" s="3"/>
      <c r="E72" s="5">
        <v>17.04</v>
      </c>
      <c r="F72" s="406"/>
    </row>
    <row r="73" spans="1:6" s="1" customFormat="1" ht="15" x14ac:dyDescent="0.2">
      <c r="A73" s="382"/>
      <c r="B73" s="3" t="s">
        <v>210</v>
      </c>
      <c r="C73" s="3"/>
      <c r="D73" s="3"/>
      <c r="E73" s="5">
        <v>17.190000000000001</v>
      </c>
      <c r="F73" s="406"/>
    </row>
    <row r="74" spans="1:6" s="1" customFormat="1" ht="25.5" x14ac:dyDescent="0.2">
      <c r="A74" s="382"/>
      <c r="B74" s="3" t="s">
        <v>220</v>
      </c>
      <c r="C74" s="3"/>
      <c r="D74" s="3"/>
      <c r="E74" s="5">
        <v>39.799999999999997</v>
      </c>
      <c r="F74" s="406"/>
    </row>
    <row r="75" spans="1:6" s="1" customFormat="1" ht="15" x14ac:dyDescent="0.2">
      <c r="A75" s="382"/>
      <c r="B75" s="3" t="s">
        <v>211</v>
      </c>
      <c r="C75" s="3"/>
      <c r="D75" s="3"/>
      <c r="E75" s="5">
        <v>15.86</v>
      </c>
      <c r="F75" s="406"/>
    </row>
    <row r="76" spans="1:6" s="1" customFormat="1" ht="15" x14ac:dyDescent="0.2">
      <c r="A76" s="382"/>
      <c r="B76" s="3" t="s">
        <v>222</v>
      </c>
      <c r="C76" s="3"/>
      <c r="D76" s="3"/>
      <c r="E76" s="5">
        <v>4.76</v>
      </c>
      <c r="F76" s="406"/>
    </row>
    <row r="77" spans="1:6" s="1" customFormat="1" ht="15" x14ac:dyDescent="0.2">
      <c r="A77" s="382"/>
      <c r="B77" s="3" t="s">
        <v>223</v>
      </c>
      <c r="C77" s="3"/>
      <c r="D77" s="3"/>
      <c r="E77" s="5">
        <v>3.32</v>
      </c>
      <c r="F77" s="406"/>
    </row>
    <row r="78" spans="1:6" s="1" customFormat="1" ht="15" x14ac:dyDescent="0.2">
      <c r="A78" s="382"/>
      <c r="B78" s="3" t="s">
        <v>224</v>
      </c>
      <c r="C78" s="3"/>
      <c r="D78" s="3"/>
      <c r="E78" s="5">
        <v>3.79</v>
      </c>
      <c r="F78" s="406"/>
    </row>
    <row r="79" spans="1:6" s="1" customFormat="1" ht="15" x14ac:dyDescent="0.2">
      <c r="A79" s="382"/>
      <c r="B79" s="3" t="s">
        <v>226</v>
      </c>
      <c r="C79" s="3"/>
      <c r="D79" s="3"/>
      <c r="E79" s="5">
        <v>2.5099999999999998</v>
      </c>
      <c r="F79" s="406"/>
    </row>
    <row r="80" spans="1:6" s="1" customFormat="1" ht="15" x14ac:dyDescent="0.2">
      <c r="A80" s="382"/>
      <c r="B80" s="3" t="s">
        <v>221</v>
      </c>
      <c r="C80" s="3"/>
      <c r="D80" s="3"/>
      <c r="E80" s="5">
        <f>40.04</f>
        <v>40.04</v>
      </c>
      <c r="F80" s="406"/>
    </row>
    <row r="81" spans="1:6" s="1" customFormat="1" ht="15" x14ac:dyDescent="0.2">
      <c r="A81" s="382"/>
      <c r="B81" s="3" t="s">
        <v>226</v>
      </c>
      <c r="C81" s="3"/>
      <c r="D81" s="3"/>
      <c r="E81" s="5">
        <v>2.5099999999999998</v>
      </c>
      <c r="F81" s="406"/>
    </row>
    <row r="82" spans="1:6" s="1" customFormat="1" ht="26.25" customHeight="1" x14ac:dyDescent="0.2">
      <c r="A82" s="382"/>
      <c r="B82" s="3" t="s">
        <v>225</v>
      </c>
      <c r="C82" s="3"/>
      <c r="D82" s="3"/>
      <c r="E82" s="5">
        <f>21</f>
        <v>21</v>
      </c>
      <c r="F82" s="406"/>
    </row>
    <row r="83" spans="1:6" s="1" customFormat="1" ht="15" x14ac:dyDescent="0.2">
      <c r="A83" s="63" t="s">
        <v>219</v>
      </c>
      <c r="B83" s="2" t="s">
        <v>186</v>
      </c>
      <c r="C83" s="2" t="s">
        <v>192</v>
      </c>
      <c r="D83" s="2" t="s">
        <v>189</v>
      </c>
      <c r="E83" s="2" t="s">
        <v>194</v>
      </c>
      <c r="F83" s="28" t="s">
        <v>195</v>
      </c>
    </row>
    <row r="84" spans="1:6" s="1" customFormat="1" ht="15" x14ac:dyDescent="0.2">
      <c r="A84" s="380" t="s">
        <v>200</v>
      </c>
      <c r="B84" s="3" t="s">
        <v>218</v>
      </c>
      <c r="C84" s="3">
        <f>4.02+4.25+4.35+4.28+(4.28+4.35+4.05+6.13+0.35*2)</f>
        <v>36.409999999999997</v>
      </c>
      <c r="D84" s="3">
        <v>1</v>
      </c>
      <c r="E84" s="5">
        <f>C84*D84</f>
        <v>36.409999999999997</v>
      </c>
      <c r="F84" s="405">
        <f>SUM(E84:E90)</f>
        <v>230.87</v>
      </c>
    </row>
    <row r="85" spans="1:6" s="1" customFormat="1" ht="15" x14ac:dyDescent="0.2">
      <c r="A85" s="380"/>
      <c r="B85" s="3" t="s">
        <v>215</v>
      </c>
      <c r="C85" s="3">
        <v>7.29</v>
      </c>
      <c r="D85" s="3">
        <v>3</v>
      </c>
      <c r="E85" s="5">
        <f t="shared" ref="E85:E90" si="1">C85*D85</f>
        <v>21.87</v>
      </c>
      <c r="F85" s="406"/>
    </row>
    <row r="86" spans="1:6" s="1" customFormat="1" ht="15" x14ac:dyDescent="0.2">
      <c r="A86" s="380"/>
      <c r="B86" s="3" t="s">
        <v>216</v>
      </c>
      <c r="C86" s="3">
        <f>C85</f>
        <v>7.29</v>
      </c>
      <c r="D86" s="3">
        <v>3</v>
      </c>
      <c r="E86" s="5">
        <f t="shared" si="1"/>
        <v>21.87</v>
      </c>
      <c r="F86" s="406"/>
    </row>
    <row r="87" spans="1:6" s="1" customFormat="1" ht="15" x14ac:dyDescent="0.2">
      <c r="A87" s="380"/>
      <c r="B87" s="3" t="s">
        <v>226</v>
      </c>
      <c r="C87" s="3">
        <f>1.48*2+1.55*2</f>
        <v>6.0600000000000005</v>
      </c>
      <c r="D87" s="3">
        <v>3</v>
      </c>
      <c r="E87" s="5">
        <f t="shared" si="1"/>
        <v>18.18</v>
      </c>
      <c r="F87" s="406"/>
    </row>
    <row r="88" spans="1:6" s="1" customFormat="1" ht="15" x14ac:dyDescent="0.2">
      <c r="A88" s="380"/>
      <c r="B88" s="3" t="s">
        <v>226</v>
      </c>
      <c r="C88" s="3">
        <f>1.48*2+1.55*2</f>
        <v>6.0600000000000005</v>
      </c>
      <c r="D88" s="3">
        <v>3</v>
      </c>
      <c r="E88" s="5">
        <f t="shared" si="1"/>
        <v>18.18</v>
      </c>
      <c r="F88" s="406"/>
    </row>
    <row r="89" spans="1:6" s="1" customFormat="1" ht="15" x14ac:dyDescent="0.2">
      <c r="A89" s="380"/>
      <c r="B89" s="3" t="s">
        <v>209</v>
      </c>
      <c r="C89" s="3">
        <f>0.9+8+2.38+6.15+1.63</f>
        <v>19.059999999999999</v>
      </c>
      <c r="D89" s="3">
        <v>3</v>
      </c>
      <c r="E89" s="5">
        <f t="shared" si="1"/>
        <v>57.179999999999993</v>
      </c>
      <c r="F89" s="406"/>
    </row>
    <row r="90" spans="1:6" s="1" customFormat="1" ht="15" x14ac:dyDescent="0.2">
      <c r="A90" s="380"/>
      <c r="B90" s="3" t="s">
        <v>210</v>
      </c>
      <c r="C90" s="3">
        <f>C89</f>
        <v>19.059999999999999</v>
      </c>
      <c r="D90" s="3">
        <v>3</v>
      </c>
      <c r="E90" s="5">
        <f t="shared" si="1"/>
        <v>57.179999999999993</v>
      </c>
      <c r="F90" s="407"/>
    </row>
    <row r="91" spans="1:6" s="1" customFormat="1" ht="15" x14ac:dyDescent="0.2">
      <c r="A91" s="67"/>
      <c r="B91" s="50"/>
      <c r="C91" s="50"/>
      <c r="D91" s="50"/>
      <c r="E91" s="45"/>
      <c r="F91" s="35"/>
    </row>
    <row r="92" spans="1:6" s="1" customFormat="1" ht="15" x14ac:dyDescent="0.2">
      <c r="A92" s="394" t="s">
        <v>227</v>
      </c>
      <c r="B92" s="395"/>
      <c r="C92" s="395"/>
      <c r="D92" s="395"/>
      <c r="E92" s="395"/>
      <c r="F92" s="31">
        <f>F37+F56+F65+F84</f>
        <v>1518.4499999999998</v>
      </c>
    </row>
    <row r="93" spans="1:6" s="1" customFormat="1" ht="15" x14ac:dyDescent="0.2">
      <c r="A93" s="19"/>
      <c r="B93" s="50"/>
      <c r="C93" s="50"/>
      <c r="D93" s="50"/>
      <c r="E93" s="50"/>
      <c r="F93" s="61"/>
    </row>
    <row r="94" spans="1:6" s="10" customFormat="1" ht="26.1" customHeight="1" x14ac:dyDescent="0.2">
      <c r="A94" s="68" t="s">
        <v>28</v>
      </c>
      <c r="B94" s="387" t="s">
        <v>113</v>
      </c>
      <c r="C94" s="387"/>
      <c r="D94" s="387"/>
      <c r="E94" s="7" t="s">
        <v>19</v>
      </c>
      <c r="F94" s="60">
        <f>F97</f>
        <v>5.7549000000000001</v>
      </c>
    </row>
    <row r="95" spans="1:6" s="1" customFormat="1" ht="15" x14ac:dyDescent="0.2">
      <c r="A95" s="19"/>
      <c r="B95" s="50"/>
      <c r="C95" s="50"/>
      <c r="D95" s="50"/>
      <c r="E95" s="50"/>
      <c r="F95" s="61"/>
    </row>
    <row r="96" spans="1:6" s="1" customFormat="1" ht="15" x14ac:dyDescent="0.2">
      <c r="A96" s="21" t="s">
        <v>186</v>
      </c>
      <c r="B96" s="2" t="s">
        <v>187</v>
      </c>
      <c r="C96" s="2" t="s">
        <v>188</v>
      </c>
      <c r="D96" s="2" t="s">
        <v>189</v>
      </c>
      <c r="E96" s="2" t="s">
        <v>190</v>
      </c>
      <c r="F96" s="28" t="s">
        <v>240</v>
      </c>
    </row>
    <row r="97" spans="1:6" s="1" customFormat="1" ht="15" x14ac:dyDescent="0.2">
      <c r="A97" s="22" t="s">
        <v>238</v>
      </c>
      <c r="B97" s="3">
        <f>3+4.9+1.85</f>
        <v>9.75</v>
      </c>
      <c r="C97" s="3">
        <v>0.15</v>
      </c>
      <c r="D97" s="5">
        <v>3.2</v>
      </c>
      <c r="E97" s="5">
        <f>B97*C97*D97</f>
        <v>4.68</v>
      </c>
      <c r="F97" s="411">
        <f>SUM(E97:E99)</f>
        <v>5.7549000000000001</v>
      </c>
    </row>
    <row r="98" spans="1:6" s="1" customFormat="1" ht="15" x14ac:dyDescent="0.2">
      <c r="A98" s="22" t="s">
        <v>237</v>
      </c>
      <c r="B98" s="3">
        <v>1.78</v>
      </c>
      <c r="C98" s="3">
        <v>0.15</v>
      </c>
      <c r="D98" s="5">
        <v>3.2</v>
      </c>
      <c r="E98" s="5">
        <f t="shared" ref="E98:E99" si="2">B98*C98*D98</f>
        <v>0.85440000000000005</v>
      </c>
      <c r="F98" s="412"/>
    </row>
    <row r="99" spans="1:6" s="1" customFormat="1" ht="15" x14ac:dyDescent="0.2">
      <c r="A99" s="22" t="s">
        <v>239</v>
      </c>
      <c r="B99" s="3">
        <v>0.7</v>
      </c>
      <c r="C99" s="3">
        <v>0.15</v>
      </c>
      <c r="D99" s="5">
        <v>2.1</v>
      </c>
      <c r="E99" s="5">
        <f t="shared" si="2"/>
        <v>0.2205</v>
      </c>
      <c r="F99" s="413"/>
    </row>
    <row r="100" spans="1:6" s="1" customFormat="1" ht="15" x14ac:dyDescent="0.2">
      <c r="A100" s="19"/>
      <c r="B100" s="50"/>
      <c r="C100" s="50"/>
      <c r="D100" s="50"/>
      <c r="E100" s="50"/>
      <c r="F100" s="61"/>
    </row>
    <row r="101" spans="1:6" ht="39" customHeight="1" x14ac:dyDescent="0.2">
      <c r="A101" s="59" t="s">
        <v>228</v>
      </c>
      <c r="B101" s="387" t="s">
        <v>29</v>
      </c>
      <c r="C101" s="387"/>
      <c r="D101" s="387"/>
      <c r="E101" s="7" t="s">
        <v>13</v>
      </c>
      <c r="F101" s="60">
        <f>F109</f>
        <v>74.87</v>
      </c>
    </row>
    <row r="102" spans="1:6" s="1" customFormat="1" ht="15" x14ac:dyDescent="0.2">
      <c r="A102" s="19"/>
      <c r="B102" s="50"/>
      <c r="C102" s="50"/>
      <c r="D102" s="50"/>
      <c r="E102" s="50"/>
      <c r="F102" s="61"/>
    </row>
    <row r="103" spans="1:6" s="1" customFormat="1" ht="15" x14ac:dyDescent="0.2">
      <c r="A103" s="63" t="s">
        <v>201</v>
      </c>
      <c r="B103" s="2" t="s">
        <v>186</v>
      </c>
      <c r="C103" s="2" t="s">
        <v>192</v>
      </c>
      <c r="D103" s="2" t="s">
        <v>189</v>
      </c>
      <c r="E103" s="2" t="s">
        <v>194</v>
      </c>
      <c r="F103" s="28" t="s">
        <v>195</v>
      </c>
    </row>
    <row r="104" spans="1:6" s="1" customFormat="1" ht="15" x14ac:dyDescent="0.2">
      <c r="A104" s="66" t="s">
        <v>200</v>
      </c>
      <c r="B104" s="3" t="s">
        <v>218</v>
      </c>
      <c r="C104" s="3">
        <f>19.23*2</f>
        <v>38.46</v>
      </c>
      <c r="D104" s="3">
        <v>1</v>
      </c>
      <c r="E104" s="5">
        <f>C104*D104</f>
        <v>38.46</v>
      </c>
      <c r="F104" s="29">
        <f>SUM(E104:E104)</f>
        <v>38.46</v>
      </c>
    </row>
    <row r="105" spans="1:6" s="1" customFormat="1" ht="15" x14ac:dyDescent="0.2">
      <c r="A105" s="19"/>
      <c r="B105" s="50"/>
      <c r="C105" s="50"/>
      <c r="D105" s="50"/>
      <c r="E105" s="50"/>
      <c r="F105" s="61"/>
    </row>
    <row r="106" spans="1:6" s="1" customFormat="1" ht="15" x14ac:dyDescent="0.2">
      <c r="A106" s="63" t="s">
        <v>219</v>
      </c>
      <c r="B106" s="2" t="s">
        <v>186</v>
      </c>
      <c r="C106" s="2" t="s">
        <v>192</v>
      </c>
      <c r="D106" s="2" t="s">
        <v>189</v>
      </c>
      <c r="E106" s="2" t="s">
        <v>194</v>
      </c>
      <c r="F106" s="28" t="s">
        <v>195</v>
      </c>
    </row>
    <row r="107" spans="1:6" s="1" customFormat="1" ht="15" x14ac:dyDescent="0.2">
      <c r="A107" s="66" t="s">
        <v>200</v>
      </c>
      <c r="B107" s="3" t="s">
        <v>218</v>
      </c>
      <c r="C107" s="3">
        <f>4.02+4.25+4.35+4.28+(4.28+4.35+4.05+6.13+0.35*2)</f>
        <v>36.409999999999997</v>
      </c>
      <c r="D107" s="3">
        <v>1</v>
      </c>
      <c r="E107" s="5">
        <f>C107*D107</f>
        <v>36.409999999999997</v>
      </c>
      <c r="F107" s="29">
        <f>SUM(E107:E107)</f>
        <v>36.409999999999997</v>
      </c>
    </row>
    <row r="108" spans="1:6" s="1" customFormat="1" ht="15" x14ac:dyDescent="0.2">
      <c r="A108" s="67"/>
      <c r="B108" s="50"/>
      <c r="C108" s="50"/>
      <c r="D108" s="50"/>
      <c r="E108" s="45"/>
      <c r="F108" s="35"/>
    </row>
    <row r="109" spans="1:6" s="1" customFormat="1" ht="15" x14ac:dyDescent="0.2">
      <c r="A109" s="394" t="s">
        <v>227</v>
      </c>
      <c r="B109" s="395"/>
      <c r="C109" s="395"/>
      <c r="D109" s="395"/>
      <c r="E109" s="395"/>
      <c r="F109" s="31">
        <f>F104+F107</f>
        <v>74.87</v>
      </c>
    </row>
    <row r="110" spans="1:6" s="1" customFormat="1" ht="15" x14ac:dyDescent="0.2">
      <c r="A110" s="19"/>
      <c r="B110" s="50"/>
      <c r="C110" s="50"/>
      <c r="D110" s="50"/>
      <c r="E110" s="50"/>
      <c r="F110" s="61"/>
    </row>
    <row r="111" spans="1:6" ht="24" customHeight="1" x14ac:dyDescent="0.2">
      <c r="A111" s="59" t="s">
        <v>229</v>
      </c>
      <c r="B111" s="387" t="s">
        <v>30</v>
      </c>
      <c r="C111" s="387"/>
      <c r="D111" s="387"/>
      <c r="E111" s="7" t="s">
        <v>13</v>
      </c>
      <c r="F111" s="60">
        <f>F153</f>
        <v>1084.42</v>
      </c>
    </row>
    <row r="112" spans="1:6" s="1" customFormat="1" ht="15" x14ac:dyDescent="0.2">
      <c r="A112" s="19"/>
      <c r="B112" s="50"/>
      <c r="C112" s="50"/>
      <c r="D112" s="50"/>
      <c r="E112" s="50"/>
      <c r="F112" s="61"/>
    </row>
    <row r="113" spans="1:6" s="1" customFormat="1" ht="15" x14ac:dyDescent="0.2">
      <c r="A113" s="63" t="s">
        <v>201</v>
      </c>
      <c r="B113" s="2" t="s">
        <v>186</v>
      </c>
      <c r="C113" s="2" t="s">
        <v>187</v>
      </c>
      <c r="D113" s="2" t="s">
        <v>188</v>
      </c>
      <c r="E113" s="2" t="s">
        <v>194</v>
      </c>
      <c r="F113" s="28" t="s">
        <v>195</v>
      </c>
    </row>
    <row r="114" spans="1:6" s="1" customFormat="1" ht="15" x14ac:dyDescent="0.2">
      <c r="A114" s="381" t="s">
        <v>199</v>
      </c>
      <c r="B114" s="3" t="s">
        <v>202</v>
      </c>
      <c r="C114" s="3"/>
      <c r="D114" s="3"/>
      <c r="E114" s="5">
        <v>40.76</v>
      </c>
      <c r="F114" s="405">
        <f>SUM(E114:E131)</f>
        <v>560.41</v>
      </c>
    </row>
    <row r="115" spans="1:6" s="1" customFormat="1" ht="15" x14ac:dyDescent="0.2">
      <c r="A115" s="382"/>
      <c r="B115" s="3" t="s">
        <v>203</v>
      </c>
      <c r="C115" s="3"/>
      <c r="D115" s="3"/>
      <c r="E115" s="5">
        <v>40</v>
      </c>
      <c r="F115" s="406"/>
    </row>
    <row r="116" spans="1:6" s="1" customFormat="1" ht="15" x14ac:dyDescent="0.2">
      <c r="A116" s="382"/>
      <c r="B116" s="3" t="s">
        <v>204</v>
      </c>
      <c r="C116" s="3"/>
      <c r="D116" s="3"/>
      <c r="E116" s="5">
        <v>40</v>
      </c>
      <c r="F116" s="406"/>
    </row>
    <row r="117" spans="1:6" s="1" customFormat="1" ht="15" x14ac:dyDescent="0.2">
      <c r="A117" s="382"/>
      <c r="B117" s="3" t="s">
        <v>205</v>
      </c>
      <c r="C117" s="3"/>
      <c r="D117" s="3"/>
      <c r="E117" s="5">
        <v>39.200000000000003</v>
      </c>
      <c r="F117" s="406"/>
    </row>
    <row r="118" spans="1:6" s="1" customFormat="1" ht="15" x14ac:dyDescent="0.2">
      <c r="A118" s="382"/>
      <c r="B118" s="3" t="s">
        <v>206</v>
      </c>
      <c r="C118" s="3"/>
      <c r="D118" s="3"/>
      <c r="E118" s="5">
        <v>39.89</v>
      </c>
      <c r="F118" s="406"/>
    </row>
    <row r="119" spans="1:6" s="1" customFormat="1" ht="15" x14ac:dyDescent="0.2">
      <c r="A119" s="382"/>
      <c r="B119" s="3" t="s">
        <v>207</v>
      </c>
      <c r="C119" s="3"/>
      <c r="D119" s="3"/>
      <c r="E119" s="5">
        <v>39.159999999999997</v>
      </c>
      <c r="F119" s="406"/>
    </row>
    <row r="120" spans="1:6" s="1" customFormat="1" ht="15" x14ac:dyDescent="0.2">
      <c r="A120" s="382"/>
      <c r="B120" s="3" t="s">
        <v>208</v>
      </c>
      <c r="C120" s="3"/>
      <c r="D120" s="3"/>
      <c r="E120" s="5">
        <v>165.31</v>
      </c>
      <c r="F120" s="406"/>
    </row>
    <row r="121" spans="1:6" s="1" customFormat="1" ht="15" x14ac:dyDescent="0.2">
      <c r="A121" s="382"/>
      <c r="B121" s="3" t="s">
        <v>209</v>
      </c>
      <c r="C121" s="3"/>
      <c r="D121" s="3"/>
      <c r="E121" s="5">
        <v>10.17</v>
      </c>
      <c r="F121" s="406"/>
    </row>
    <row r="122" spans="1:6" s="1" customFormat="1" ht="15" x14ac:dyDescent="0.2">
      <c r="A122" s="382"/>
      <c r="B122" s="3" t="s">
        <v>210</v>
      </c>
      <c r="C122" s="3"/>
      <c r="D122" s="3"/>
      <c r="E122" s="5">
        <v>10.32</v>
      </c>
      <c r="F122" s="406"/>
    </row>
    <row r="123" spans="1:6" s="1" customFormat="1" ht="15" x14ac:dyDescent="0.2">
      <c r="A123" s="382"/>
      <c r="B123" s="3" t="s">
        <v>211</v>
      </c>
      <c r="C123" s="3"/>
      <c r="D123" s="3"/>
      <c r="E123" s="5">
        <v>11.92</v>
      </c>
      <c r="F123" s="406"/>
    </row>
    <row r="124" spans="1:6" s="1" customFormat="1" ht="15" x14ac:dyDescent="0.2">
      <c r="A124" s="382"/>
      <c r="B124" s="3" t="s">
        <v>212</v>
      </c>
      <c r="C124" s="3"/>
      <c r="D124" s="3"/>
      <c r="E124" s="5">
        <v>1.48</v>
      </c>
      <c r="F124" s="406"/>
    </row>
    <row r="125" spans="1:6" s="1" customFormat="1" ht="15" x14ac:dyDescent="0.2">
      <c r="A125" s="382"/>
      <c r="B125" s="3" t="s">
        <v>212</v>
      </c>
      <c r="C125" s="3"/>
      <c r="D125" s="3"/>
      <c r="E125" s="5">
        <v>1.48</v>
      </c>
      <c r="F125" s="406"/>
    </row>
    <row r="126" spans="1:6" s="1" customFormat="1" ht="15" x14ac:dyDescent="0.2">
      <c r="A126" s="382"/>
      <c r="B126" s="3" t="s">
        <v>213</v>
      </c>
      <c r="C126" s="3"/>
      <c r="D126" s="3"/>
      <c r="E126" s="5">
        <v>10.23</v>
      </c>
      <c r="F126" s="406"/>
    </row>
    <row r="127" spans="1:6" s="1" customFormat="1" ht="15" x14ac:dyDescent="0.2">
      <c r="A127" s="382"/>
      <c r="B127" s="3" t="s">
        <v>214</v>
      </c>
      <c r="C127" s="3"/>
      <c r="D127" s="3"/>
      <c r="E127" s="5">
        <v>18</v>
      </c>
      <c r="F127" s="406"/>
    </row>
    <row r="128" spans="1:6" s="1" customFormat="1" ht="15" x14ac:dyDescent="0.2">
      <c r="A128" s="382"/>
      <c r="B128" s="3" t="s">
        <v>215</v>
      </c>
      <c r="C128" s="3"/>
      <c r="D128" s="3"/>
      <c r="E128" s="5">
        <v>4.12</v>
      </c>
      <c r="F128" s="406"/>
    </row>
    <row r="129" spans="1:6" s="1" customFormat="1" ht="15" x14ac:dyDescent="0.2">
      <c r="A129" s="382"/>
      <c r="B129" s="3" t="s">
        <v>216</v>
      </c>
      <c r="C129" s="3"/>
      <c r="D129" s="3"/>
      <c r="E129" s="5">
        <v>4.12</v>
      </c>
      <c r="F129" s="406"/>
    </row>
    <row r="130" spans="1:6" s="1" customFormat="1" ht="15" x14ac:dyDescent="0.2">
      <c r="A130" s="382"/>
      <c r="B130" s="3" t="s">
        <v>221</v>
      </c>
      <c r="C130" s="3"/>
      <c r="D130" s="3"/>
      <c r="E130" s="5">
        <v>28.65</v>
      </c>
      <c r="F130" s="406"/>
    </row>
    <row r="131" spans="1:6" s="1" customFormat="1" ht="15" x14ac:dyDescent="0.2">
      <c r="A131" s="383"/>
      <c r="B131" s="3" t="s">
        <v>217</v>
      </c>
      <c r="C131" s="3"/>
      <c r="D131" s="3"/>
      <c r="E131" s="5">
        <v>55.6</v>
      </c>
      <c r="F131" s="407"/>
    </row>
    <row r="132" spans="1:6" s="1" customFormat="1" ht="15" x14ac:dyDescent="0.2">
      <c r="A132" s="19"/>
      <c r="B132" s="50"/>
      <c r="C132" s="50"/>
      <c r="D132" s="50"/>
      <c r="E132" s="50"/>
      <c r="F132" s="61"/>
    </row>
    <row r="133" spans="1:6" s="1" customFormat="1" ht="15" x14ac:dyDescent="0.2">
      <c r="A133" s="63" t="s">
        <v>219</v>
      </c>
      <c r="B133" s="2" t="s">
        <v>186</v>
      </c>
      <c r="C133" s="2" t="s">
        <v>187</v>
      </c>
      <c r="D133" s="2" t="s">
        <v>188</v>
      </c>
      <c r="E133" s="2" t="s">
        <v>194</v>
      </c>
      <c r="F133" s="28" t="s">
        <v>195</v>
      </c>
    </row>
    <row r="134" spans="1:6" s="1" customFormat="1" ht="15" x14ac:dyDescent="0.2">
      <c r="A134" s="380" t="s">
        <v>199</v>
      </c>
      <c r="B134" s="3" t="s">
        <v>202</v>
      </c>
      <c r="C134" s="3"/>
      <c r="D134" s="3"/>
      <c r="E134" s="5">
        <v>39.200000000000003</v>
      </c>
      <c r="F134" s="403">
        <f>SUM(E134:E151)</f>
        <v>524.01</v>
      </c>
    </row>
    <row r="135" spans="1:6" s="1" customFormat="1" ht="15" x14ac:dyDescent="0.2">
      <c r="A135" s="380"/>
      <c r="B135" s="3" t="s">
        <v>203</v>
      </c>
      <c r="C135" s="3"/>
      <c r="D135" s="3"/>
      <c r="E135" s="5">
        <v>39.200000000000003</v>
      </c>
      <c r="F135" s="403"/>
    </row>
    <row r="136" spans="1:6" s="1" customFormat="1" ht="15" x14ac:dyDescent="0.2">
      <c r="A136" s="380"/>
      <c r="B136" s="3" t="s">
        <v>204</v>
      </c>
      <c r="C136" s="3"/>
      <c r="D136" s="3"/>
      <c r="E136" s="5">
        <v>40.799999999999997</v>
      </c>
      <c r="F136" s="403"/>
    </row>
    <row r="137" spans="1:6" s="1" customFormat="1" ht="15" x14ac:dyDescent="0.2">
      <c r="A137" s="380"/>
      <c r="B137" s="3" t="s">
        <v>205</v>
      </c>
      <c r="C137" s="3"/>
      <c r="D137" s="3"/>
      <c r="E137" s="5">
        <v>40.799999999999997</v>
      </c>
      <c r="F137" s="403"/>
    </row>
    <row r="138" spans="1:6" s="1" customFormat="1" ht="15" x14ac:dyDescent="0.2">
      <c r="A138" s="380"/>
      <c r="B138" s="3" t="s">
        <v>206</v>
      </c>
      <c r="C138" s="3"/>
      <c r="D138" s="3"/>
      <c r="E138" s="5">
        <v>39.96</v>
      </c>
      <c r="F138" s="403"/>
    </row>
    <row r="139" spans="1:6" s="1" customFormat="1" ht="15" x14ac:dyDescent="0.2">
      <c r="A139" s="380"/>
      <c r="B139" s="3" t="s">
        <v>207</v>
      </c>
      <c r="C139" s="3"/>
      <c r="D139" s="3"/>
      <c r="E139" s="5">
        <v>39.96</v>
      </c>
      <c r="F139" s="403"/>
    </row>
    <row r="140" spans="1:6" s="1" customFormat="1" ht="15" x14ac:dyDescent="0.2">
      <c r="A140" s="380"/>
      <c r="B140" s="3" t="s">
        <v>208</v>
      </c>
      <c r="C140" s="3"/>
      <c r="D140" s="3"/>
      <c r="E140" s="5">
        <v>116.27</v>
      </c>
      <c r="F140" s="403"/>
    </row>
    <row r="141" spans="1:6" s="1" customFormat="1" ht="15" x14ac:dyDescent="0.2">
      <c r="A141" s="380"/>
      <c r="B141" s="3" t="s">
        <v>209</v>
      </c>
      <c r="C141" s="3"/>
      <c r="D141" s="3"/>
      <c r="E141" s="5">
        <v>17.04</v>
      </c>
      <c r="F141" s="403"/>
    </row>
    <row r="142" spans="1:6" s="1" customFormat="1" ht="15" x14ac:dyDescent="0.2">
      <c r="A142" s="380"/>
      <c r="B142" s="3" t="s">
        <v>210</v>
      </c>
      <c r="C142" s="3"/>
      <c r="D142" s="3"/>
      <c r="E142" s="5">
        <v>17.190000000000001</v>
      </c>
      <c r="F142" s="403"/>
    </row>
    <row r="143" spans="1:6" s="1" customFormat="1" ht="25.5" x14ac:dyDescent="0.2">
      <c r="A143" s="380"/>
      <c r="B143" s="3" t="s">
        <v>220</v>
      </c>
      <c r="C143" s="3"/>
      <c r="D143" s="3"/>
      <c r="E143" s="5">
        <v>39.799999999999997</v>
      </c>
      <c r="F143" s="403"/>
    </row>
    <row r="144" spans="1:6" s="1" customFormat="1" ht="15" x14ac:dyDescent="0.2">
      <c r="A144" s="380"/>
      <c r="B144" s="3" t="s">
        <v>211</v>
      </c>
      <c r="C144" s="3"/>
      <c r="D144" s="3"/>
      <c r="E144" s="5">
        <v>15.86</v>
      </c>
      <c r="F144" s="403"/>
    </row>
    <row r="145" spans="1:6" s="1" customFormat="1" ht="15" x14ac:dyDescent="0.2">
      <c r="A145" s="380"/>
      <c r="B145" s="3" t="s">
        <v>222</v>
      </c>
      <c r="C145" s="3"/>
      <c r="D145" s="3"/>
      <c r="E145" s="5">
        <v>4.76</v>
      </c>
      <c r="F145" s="403"/>
    </row>
    <row r="146" spans="1:6" s="1" customFormat="1" ht="15" x14ac:dyDescent="0.2">
      <c r="A146" s="380"/>
      <c r="B146" s="3" t="s">
        <v>223</v>
      </c>
      <c r="C146" s="3"/>
      <c r="D146" s="3"/>
      <c r="E146" s="5">
        <v>3.32</v>
      </c>
      <c r="F146" s="403"/>
    </row>
    <row r="147" spans="1:6" s="1" customFormat="1" ht="15" x14ac:dyDescent="0.2">
      <c r="A147" s="380"/>
      <c r="B147" s="3" t="s">
        <v>221</v>
      </c>
      <c r="C147" s="3"/>
      <c r="D147" s="3"/>
      <c r="E147" s="5">
        <v>40.04</v>
      </c>
      <c r="F147" s="403"/>
    </row>
    <row r="148" spans="1:6" s="1" customFormat="1" ht="15" x14ac:dyDescent="0.2">
      <c r="A148" s="380"/>
      <c r="B148" s="3" t="s">
        <v>224</v>
      </c>
      <c r="C148" s="3"/>
      <c r="D148" s="3"/>
      <c r="E148" s="5">
        <v>3.79</v>
      </c>
      <c r="F148" s="403"/>
    </row>
    <row r="149" spans="1:6" s="1" customFormat="1" ht="15" x14ac:dyDescent="0.2">
      <c r="A149" s="380"/>
      <c r="B149" s="3" t="s">
        <v>226</v>
      </c>
      <c r="C149" s="3"/>
      <c r="D149" s="3"/>
      <c r="E149" s="5">
        <v>2.5099999999999998</v>
      </c>
      <c r="F149" s="403"/>
    </row>
    <row r="150" spans="1:6" s="1" customFormat="1" ht="15" x14ac:dyDescent="0.2">
      <c r="A150" s="380"/>
      <c r="B150" s="3" t="s">
        <v>226</v>
      </c>
      <c r="C150" s="3"/>
      <c r="D150" s="3"/>
      <c r="E150" s="5">
        <v>2.5099999999999998</v>
      </c>
      <c r="F150" s="403"/>
    </row>
    <row r="151" spans="1:6" s="1" customFormat="1" ht="26.25" customHeight="1" x14ac:dyDescent="0.2">
      <c r="A151" s="380"/>
      <c r="B151" s="3" t="s">
        <v>225</v>
      </c>
      <c r="C151" s="3"/>
      <c r="D151" s="3"/>
      <c r="E151" s="5">
        <f>21</f>
        <v>21</v>
      </c>
      <c r="F151" s="403"/>
    </row>
    <row r="152" spans="1:6" s="1" customFormat="1" ht="15" x14ac:dyDescent="0.2">
      <c r="A152" s="67"/>
      <c r="B152" s="50"/>
      <c r="C152" s="50"/>
      <c r="D152" s="50"/>
      <c r="E152" s="45"/>
      <c r="F152" s="35"/>
    </row>
    <row r="153" spans="1:6" s="1" customFormat="1" ht="15" x14ac:dyDescent="0.2">
      <c r="A153" s="394" t="s">
        <v>227</v>
      </c>
      <c r="B153" s="395"/>
      <c r="C153" s="395"/>
      <c r="D153" s="395"/>
      <c r="E153" s="395"/>
      <c r="F153" s="31">
        <f>F114+F134</f>
        <v>1084.42</v>
      </c>
    </row>
    <row r="154" spans="1:6" s="1" customFormat="1" ht="15" x14ac:dyDescent="0.2">
      <c r="A154" s="19"/>
      <c r="B154" s="50"/>
      <c r="C154" s="50"/>
      <c r="D154" s="50"/>
      <c r="E154" s="50"/>
      <c r="F154" s="61"/>
    </row>
    <row r="155" spans="1:6" ht="26.1" customHeight="1" x14ac:dyDescent="0.2">
      <c r="A155" s="59" t="s">
        <v>230</v>
      </c>
      <c r="B155" s="387" t="s">
        <v>31</v>
      </c>
      <c r="C155" s="387"/>
      <c r="D155" s="387"/>
      <c r="E155" s="7" t="s">
        <v>13</v>
      </c>
      <c r="F155" s="60">
        <f>F197</f>
        <v>76.670999999999992</v>
      </c>
    </row>
    <row r="156" spans="1:6" s="1" customFormat="1" ht="15" x14ac:dyDescent="0.2">
      <c r="A156" s="19"/>
      <c r="B156" s="50"/>
      <c r="C156" s="50"/>
      <c r="D156" s="50"/>
      <c r="E156" s="50"/>
      <c r="F156" s="61"/>
    </row>
    <row r="157" spans="1:6" s="1" customFormat="1" ht="15" x14ac:dyDescent="0.2">
      <c r="A157" s="408" t="s">
        <v>201</v>
      </c>
      <c r="B157" s="2" t="s">
        <v>186</v>
      </c>
      <c r="C157" s="2" t="s">
        <v>295</v>
      </c>
      <c r="D157" s="2" t="s">
        <v>194</v>
      </c>
      <c r="E157" s="2" t="s">
        <v>198</v>
      </c>
      <c r="F157" s="28" t="s">
        <v>296</v>
      </c>
    </row>
    <row r="158" spans="1:6" s="1" customFormat="1" ht="15" x14ac:dyDescent="0.2">
      <c r="A158" s="409"/>
      <c r="B158" s="3" t="s">
        <v>202</v>
      </c>
      <c r="C158" s="5">
        <v>1</v>
      </c>
      <c r="D158" s="5">
        <f>0.9*2.1</f>
        <v>1.8900000000000001</v>
      </c>
      <c r="E158" s="5">
        <f>C158*D158</f>
        <v>1.8900000000000001</v>
      </c>
      <c r="F158" s="405">
        <f>SUM(E158:E174)</f>
        <v>38.64</v>
      </c>
    </row>
    <row r="159" spans="1:6" s="1" customFormat="1" ht="15" x14ac:dyDescent="0.2">
      <c r="A159" s="409"/>
      <c r="B159" s="3" t="s">
        <v>203</v>
      </c>
      <c r="C159" s="5">
        <v>1</v>
      </c>
      <c r="D159" s="5">
        <f t="shared" ref="D159:D163" si="3">0.9*2.1</f>
        <v>1.8900000000000001</v>
      </c>
      <c r="E159" s="5">
        <f t="shared" ref="E159:E174" si="4">C159*D159</f>
        <v>1.8900000000000001</v>
      </c>
      <c r="F159" s="406"/>
    </row>
    <row r="160" spans="1:6" s="1" customFormat="1" ht="15" x14ac:dyDescent="0.2">
      <c r="A160" s="409"/>
      <c r="B160" s="3" t="s">
        <v>204</v>
      </c>
      <c r="C160" s="5">
        <v>1</v>
      </c>
      <c r="D160" s="5">
        <f t="shared" si="3"/>
        <v>1.8900000000000001</v>
      </c>
      <c r="E160" s="5">
        <f t="shared" si="4"/>
        <v>1.8900000000000001</v>
      </c>
      <c r="F160" s="406"/>
    </row>
    <row r="161" spans="1:6" s="1" customFormat="1" ht="15" x14ac:dyDescent="0.2">
      <c r="A161" s="409"/>
      <c r="B161" s="3" t="s">
        <v>205</v>
      </c>
      <c r="C161" s="5">
        <v>1</v>
      </c>
      <c r="D161" s="5">
        <f t="shared" si="3"/>
        <v>1.8900000000000001</v>
      </c>
      <c r="E161" s="5">
        <f t="shared" si="4"/>
        <v>1.8900000000000001</v>
      </c>
      <c r="F161" s="406"/>
    </row>
    <row r="162" spans="1:6" s="1" customFormat="1" ht="15" x14ac:dyDescent="0.2">
      <c r="A162" s="409"/>
      <c r="B162" s="3" t="s">
        <v>206</v>
      </c>
      <c r="C162" s="5">
        <v>1</v>
      </c>
      <c r="D162" s="5">
        <f t="shared" si="3"/>
        <v>1.8900000000000001</v>
      </c>
      <c r="E162" s="5">
        <f t="shared" si="4"/>
        <v>1.8900000000000001</v>
      </c>
      <c r="F162" s="406"/>
    </row>
    <row r="163" spans="1:6" s="1" customFormat="1" ht="15" x14ac:dyDescent="0.2">
      <c r="A163" s="409"/>
      <c r="B163" s="3" t="s">
        <v>207</v>
      </c>
      <c r="C163" s="5">
        <v>1</v>
      </c>
      <c r="D163" s="5">
        <f t="shared" si="3"/>
        <v>1.8900000000000001</v>
      </c>
      <c r="E163" s="5">
        <f t="shared" si="4"/>
        <v>1.8900000000000001</v>
      </c>
      <c r="F163" s="406"/>
    </row>
    <row r="164" spans="1:6" s="1" customFormat="1" ht="15" x14ac:dyDescent="0.2">
      <c r="A164" s="409"/>
      <c r="B164" s="3" t="s">
        <v>209</v>
      </c>
      <c r="C164" s="5">
        <v>4</v>
      </c>
      <c r="D164" s="5">
        <f>0.7*2.1</f>
        <v>1.47</v>
      </c>
      <c r="E164" s="5">
        <f t="shared" si="4"/>
        <v>5.88</v>
      </c>
      <c r="F164" s="406"/>
    </row>
    <row r="165" spans="1:6" s="1" customFormat="1" ht="15" x14ac:dyDescent="0.2">
      <c r="A165" s="409"/>
      <c r="B165" s="3" t="s">
        <v>210</v>
      </c>
      <c r="C165" s="5">
        <v>5</v>
      </c>
      <c r="D165" s="5">
        <f>D164</f>
        <v>1.47</v>
      </c>
      <c r="E165" s="5">
        <f t="shared" si="4"/>
        <v>7.35</v>
      </c>
      <c r="F165" s="406"/>
    </row>
    <row r="166" spans="1:6" s="1" customFormat="1" ht="15" x14ac:dyDescent="0.2">
      <c r="A166" s="409"/>
      <c r="B166" s="3" t="s">
        <v>211</v>
      </c>
      <c r="C166" s="5">
        <v>1</v>
      </c>
      <c r="D166" s="5">
        <f>0.8*2.1</f>
        <v>1.6800000000000002</v>
      </c>
      <c r="E166" s="5">
        <f t="shared" si="4"/>
        <v>1.6800000000000002</v>
      </c>
      <c r="F166" s="406"/>
    </row>
    <row r="167" spans="1:6" s="1" customFormat="1" ht="15" x14ac:dyDescent="0.2">
      <c r="A167" s="409"/>
      <c r="B167" s="3" t="s">
        <v>212</v>
      </c>
      <c r="C167" s="5">
        <v>1</v>
      </c>
      <c r="D167" s="5">
        <f>0.6*2.1</f>
        <v>1.26</v>
      </c>
      <c r="E167" s="5">
        <f t="shared" si="4"/>
        <v>1.26</v>
      </c>
      <c r="F167" s="406"/>
    </row>
    <row r="168" spans="1:6" s="1" customFormat="1" ht="15" x14ac:dyDescent="0.2">
      <c r="A168" s="409"/>
      <c r="B168" s="3" t="s">
        <v>212</v>
      </c>
      <c r="C168" s="5">
        <v>1</v>
      </c>
      <c r="D168" s="5">
        <f>0.6*2.1</f>
        <v>1.26</v>
      </c>
      <c r="E168" s="5">
        <f t="shared" si="4"/>
        <v>1.26</v>
      </c>
      <c r="F168" s="406"/>
    </row>
    <row r="169" spans="1:6" s="1" customFormat="1" ht="15" x14ac:dyDescent="0.2">
      <c r="A169" s="409"/>
      <c r="B169" s="3" t="s">
        <v>213</v>
      </c>
      <c r="C169" s="5">
        <v>1</v>
      </c>
      <c r="D169" s="5">
        <f>0.8*2.1</f>
        <v>1.6800000000000002</v>
      </c>
      <c r="E169" s="5">
        <f t="shared" si="4"/>
        <v>1.6800000000000002</v>
      </c>
      <c r="F169" s="406"/>
    </row>
    <row r="170" spans="1:6" s="1" customFormat="1" ht="15" x14ac:dyDescent="0.2">
      <c r="A170" s="409"/>
      <c r="B170" s="3" t="s">
        <v>214</v>
      </c>
      <c r="C170" s="5">
        <v>1</v>
      </c>
      <c r="D170" s="5">
        <f>0.7*2.1</f>
        <v>1.47</v>
      </c>
      <c r="E170" s="5">
        <f t="shared" si="4"/>
        <v>1.47</v>
      </c>
      <c r="F170" s="406"/>
    </row>
    <row r="171" spans="1:6" s="1" customFormat="1" ht="15" x14ac:dyDescent="0.2">
      <c r="A171" s="409"/>
      <c r="B171" s="3" t="s">
        <v>215</v>
      </c>
      <c r="C171" s="5">
        <v>1</v>
      </c>
      <c r="D171" s="5">
        <f>0.6*2.1</f>
        <v>1.26</v>
      </c>
      <c r="E171" s="5">
        <f t="shared" si="4"/>
        <v>1.26</v>
      </c>
      <c r="F171" s="406"/>
    </row>
    <row r="172" spans="1:6" s="1" customFormat="1" ht="15" x14ac:dyDescent="0.2">
      <c r="A172" s="409"/>
      <c r="B172" s="3" t="s">
        <v>216</v>
      </c>
      <c r="C172" s="5">
        <v>1</v>
      </c>
      <c r="D172" s="5">
        <f>D171</f>
        <v>1.26</v>
      </c>
      <c r="E172" s="5">
        <f t="shared" si="4"/>
        <v>1.26</v>
      </c>
      <c r="F172" s="406"/>
    </row>
    <row r="173" spans="1:6" s="1" customFormat="1" ht="15" x14ac:dyDescent="0.2">
      <c r="A173" s="409"/>
      <c r="B173" s="3" t="s">
        <v>297</v>
      </c>
      <c r="C173" s="5">
        <v>1</v>
      </c>
      <c r="D173" s="5">
        <f>0.8*2.1</f>
        <v>1.6800000000000002</v>
      </c>
      <c r="E173" s="5">
        <f t="shared" si="4"/>
        <v>1.6800000000000002</v>
      </c>
      <c r="F173" s="406"/>
    </row>
    <row r="174" spans="1:6" s="1" customFormat="1" ht="15" x14ac:dyDescent="0.2">
      <c r="A174" s="410"/>
      <c r="B174" s="3" t="s">
        <v>217</v>
      </c>
      <c r="C174" s="5">
        <v>1</v>
      </c>
      <c r="D174" s="5">
        <f>1.2*2.1</f>
        <v>2.52</v>
      </c>
      <c r="E174" s="5">
        <f t="shared" si="4"/>
        <v>2.52</v>
      </c>
      <c r="F174" s="407"/>
    </row>
    <row r="175" spans="1:6" s="1" customFormat="1" ht="15" x14ac:dyDescent="0.2">
      <c r="A175" s="19"/>
      <c r="B175" s="50"/>
      <c r="C175" s="50"/>
      <c r="D175" s="50"/>
      <c r="E175" s="50"/>
      <c r="F175" s="61"/>
    </row>
    <row r="176" spans="1:6" s="1" customFormat="1" ht="15" x14ac:dyDescent="0.2">
      <c r="A176" s="408" t="s">
        <v>219</v>
      </c>
      <c r="B176" s="2" t="s">
        <v>186</v>
      </c>
      <c r="C176" s="2" t="s">
        <v>295</v>
      </c>
      <c r="D176" s="2" t="s">
        <v>194</v>
      </c>
      <c r="E176" s="2" t="s">
        <v>198</v>
      </c>
      <c r="F176" s="28" t="s">
        <v>296</v>
      </c>
    </row>
    <row r="177" spans="1:6" s="1" customFormat="1" ht="15" x14ac:dyDescent="0.2">
      <c r="A177" s="409"/>
      <c r="B177" s="3" t="s">
        <v>202</v>
      </c>
      <c r="C177" s="5">
        <v>1</v>
      </c>
      <c r="D177" s="5">
        <f>0.9*2.1</f>
        <v>1.8900000000000001</v>
      </c>
      <c r="E177" s="5">
        <f>C177*D177</f>
        <v>1.8900000000000001</v>
      </c>
      <c r="F177" s="405">
        <f>SUM(E177:E195)</f>
        <v>38.030999999999999</v>
      </c>
    </row>
    <row r="178" spans="1:6" s="1" customFormat="1" ht="15" x14ac:dyDescent="0.2">
      <c r="A178" s="409"/>
      <c r="B178" s="3" t="s">
        <v>203</v>
      </c>
      <c r="C178" s="5">
        <v>1</v>
      </c>
      <c r="D178" s="5">
        <f t="shared" ref="D178:D182" si="5">0.9*2.1</f>
        <v>1.8900000000000001</v>
      </c>
      <c r="E178" s="5">
        <f t="shared" ref="E178:E195" si="6">C178*D178</f>
        <v>1.8900000000000001</v>
      </c>
      <c r="F178" s="406"/>
    </row>
    <row r="179" spans="1:6" s="1" customFormat="1" ht="15" x14ac:dyDescent="0.2">
      <c r="A179" s="409"/>
      <c r="B179" s="3" t="s">
        <v>204</v>
      </c>
      <c r="C179" s="5">
        <v>1</v>
      </c>
      <c r="D179" s="5">
        <f t="shared" si="5"/>
        <v>1.8900000000000001</v>
      </c>
      <c r="E179" s="5">
        <f t="shared" si="6"/>
        <v>1.8900000000000001</v>
      </c>
      <c r="F179" s="406"/>
    </row>
    <row r="180" spans="1:6" s="1" customFormat="1" ht="15" x14ac:dyDescent="0.2">
      <c r="A180" s="409"/>
      <c r="B180" s="3" t="s">
        <v>205</v>
      </c>
      <c r="C180" s="5">
        <v>1</v>
      </c>
      <c r="D180" s="5">
        <f t="shared" si="5"/>
        <v>1.8900000000000001</v>
      </c>
      <c r="E180" s="5">
        <f t="shared" si="6"/>
        <v>1.8900000000000001</v>
      </c>
      <c r="F180" s="406"/>
    </row>
    <row r="181" spans="1:6" s="1" customFormat="1" ht="15" x14ac:dyDescent="0.2">
      <c r="A181" s="409"/>
      <c r="B181" s="3" t="s">
        <v>206</v>
      </c>
      <c r="C181" s="5">
        <v>1</v>
      </c>
      <c r="D181" s="5">
        <f t="shared" si="5"/>
        <v>1.8900000000000001</v>
      </c>
      <c r="E181" s="5">
        <f t="shared" si="6"/>
        <v>1.8900000000000001</v>
      </c>
      <c r="F181" s="406"/>
    </row>
    <row r="182" spans="1:6" s="1" customFormat="1" ht="15" x14ac:dyDescent="0.2">
      <c r="A182" s="409"/>
      <c r="B182" s="3" t="s">
        <v>207</v>
      </c>
      <c r="C182" s="5">
        <v>1</v>
      </c>
      <c r="D182" s="5">
        <f t="shared" si="5"/>
        <v>1.8900000000000001</v>
      </c>
      <c r="E182" s="5">
        <f t="shared" si="6"/>
        <v>1.8900000000000001</v>
      </c>
      <c r="F182" s="406"/>
    </row>
    <row r="183" spans="1:6" s="1" customFormat="1" ht="15" x14ac:dyDescent="0.2">
      <c r="A183" s="409"/>
      <c r="B183" s="351" t="s">
        <v>209</v>
      </c>
      <c r="C183" s="5">
        <v>4</v>
      </c>
      <c r="D183" s="5">
        <f>0.5*2.1</f>
        <v>1.05</v>
      </c>
      <c r="E183" s="5">
        <f t="shared" si="6"/>
        <v>4.2</v>
      </c>
      <c r="F183" s="406"/>
    </row>
    <row r="184" spans="1:6" s="1" customFormat="1" ht="15" x14ac:dyDescent="0.2">
      <c r="A184" s="409"/>
      <c r="B184" s="352"/>
      <c r="C184" s="5">
        <v>1</v>
      </c>
      <c r="D184" s="5">
        <f>0.8*2.1</f>
        <v>1.6800000000000002</v>
      </c>
      <c r="E184" s="5">
        <f t="shared" si="6"/>
        <v>1.6800000000000002</v>
      </c>
      <c r="F184" s="406"/>
    </row>
    <row r="185" spans="1:6" s="1" customFormat="1" ht="15" x14ac:dyDescent="0.2">
      <c r="A185" s="409"/>
      <c r="B185" s="351" t="s">
        <v>210</v>
      </c>
      <c r="C185" s="5">
        <v>1</v>
      </c>
      <c r="D185" s="5">
        <f>0.8*2.1</f>
        <v>1.6800000000000002</v>
      </c>
      <c r="E185" s="5">
        <f t="shared" si="6"/>
        <v>1.6800000000000002</v>
      </c>
      <c r="F185" s="406"/>
    </row>
    <row r="186" spans="1:6" s="1" customFormat="1" ht="15" x14ac:dyDescent="0.2">
      <c r="A186" s="409"/>
      <c r="B186" s="352"/>
      <c r="C186" s="5">
        <v>4</v>
      </c>
      <c r="D186" s="5">
        <f>0.5*2.1</f>
        <v>1.05</v>
      </c>
      <c r="E186" s="5">
        <f t="shared" ref="E186" si="7">C186*D186</f>
        <v>4.2</v>
      </c>
      <c r="F186" s="406"/>
    </row>
    <row r="187" spans="1:6" s="1" customFormat="1" ht="25.5" x14ac:dyDescent="0.2">
      <c r="A187" s="409"/>
      <c r="B187" s="3" t="s">
        <v>220</v>
      </c>
      <c r="C187" s="5">
        <v>1</v>
      </c>
      <c r="D187" s="5">
        <f>0.9*2.1</f>
        <v>1.8900000000000001</v>
      </c>
      <c r="E187" s="5">
        <f t="shared" si="6"/>
        <v>1.8900000000000001</v>
      </c>
      <c r="F187" s="406"/>
    </row>
    <row r="188" spans="1:6" s="1" customFormat="1" ht="15" x14ac:dyDescent="0.2">
      <c r="A188" s="409"/>
      <c r="B188" s="3" t="s">
        <v>211</v>
      </c>
      <c r="C188" s="5">
        <v>1</v>
      </c>
      <c r="D188" s="5">
        <f>0.7*2.1</f>
        <v>1.47</v>
      </c>
      <c r="E188" s="5">
        <f t="shared" si="6"/>
        <v>1.47</v>
      </c>
      <c r="F188" s="406"/>
    </row>
    <row r="189" spans="1:6" s="1" customFormat="1" ht="15" x14ac:dyDescent="0.2">
      <c r="A189" s="409"/>
      <c r="B189" s="3" t="s">
        <v>222</v>
      </c>
      <c r="C189" s="5">
        <v>1</v>
      </c>
      <c r="D189" s="5">
        <f>0.73*2.1</f>
        <v>1.5329999999999999</v>
      </c>
      <c r="E189" s="5">
        <f t="shared" si="6"/>
        <v>1.5329999999999999</v>
      </c>
      <c r="F189" s="406"/>
    </row>
    <row r="190" spans="1:6" s="1" customFormat="1" ht="15" x14ac:dyDescent="0.2">
      <c r="A190" s="409"/>
      <c r="B190" s="3" t="s">
        <v>223</v>
      </c>
      <c r="C190" s="5">
        <v>1</v>
      </c>
      <c r="D190" s="5">
        <f>0.7*2.1</f>
        <v>1.47</v>
      </c>
      <c r="E190" s="5">
        <f t="shared" si="6"/>
        <v>1.47</v>
      </c>
      <c r="F190" s="406"/>
    </row>
    <row r="191" spans="1:6" s="1" customFormat="1" ht="15" x14ac:dyDescent="0.2">
      <c r="A191" s="409"/>
      <c r="B191" s="3" t="s">
        <v>224</v>
      </c>
      <c r="C191" s="5">
        <v>1</v>
      </c>
      <c r="D191" s="5">
        <f>0.68*2.1</f>
        <v>1.4280000000000002</v>
      </c>
      <c r="E191" s="5">
        <f t="shared" si="6"/>
        <v>1.4280000000000002</v>
      </c>
      <c r="F191" s="406"/>
    </row>
    <row r="192" spans="1:6" s="1" customFormat="1" ht="15" x14ac:dyDescent="0.2">
      <c r="A192" s="409"/>
      <c r="B192" s="3" t="s">
        <v>226</v>
      </c>
      <c r="C192" s="5">
        <v>1</v>
      </c>
      <c r="D192" s="5">
        <f>0.9*2.1</f>
        <v>1.8900000000000001</v>
      </c>
      <c r="E192" s="5">
        <f t="shared" si="6"/>
        <v>1.8900000000000001</v>
      </c>
      <c r="F192" s="406"/>
    </row>
    <row r="193" spans="1:6" s="1" customFormat="1" ht="15" x14ac:dyDescent="0.2">
      <c r="A193" s="409"/>
      <c r="B193" s="3" t="s">
        <v>226</v>
      </c>
      <c r="C193" s="5">
        <v>1</v>
      </c>
      <c r="D193" s="5">
        <f>D192</f>
        <v>1.8900000000000001</v>
      </c>
      <c r="E193" s="5">
        <f t="shared" si="6"/>
        <v>1.8900000000000001</v>
      </c>
      <c r="F193" s="406"/>
    </row>
    <row r="194" spans="1:6" s="1" customFormat="1" ht="15" x14ac:dyDescent="0.2">
      <c r="A194" s="409"/>
      <c r="B194" s="3" t="s">
        <v>297</v>
      </c>
      <c r="C194" s="5">
        <v>1</v>
      </c>
      <c r="D194" s="5">
        <f>0.9*2.1</f>
        <v>1.8900000000000001</v>
      </c>
      <c r="E194" s="5">
        <f t="shared" si="6"/>
        <v>1.8900000000000001</v>
      </c>
      <c r="F194" s="406"/>
    </row>
    <row r="195" spans="1:6" s="1" customFormat="1" ht="26.25" customHeight="1" x14ac:dyDescent="0.2">
      <c r="A195" s="410"/>
      <c r="B195" s="3" t="s">
        <v>225</v>
      </c>
      <c r="C195" s="5">
        <v>1</v>
      </c>
      <c r="D195" s="5">
        <f>0.7*2.1</f>
        <v>1.47</v>
      </c>
      <c r="E195" s="5">
        <f t="shared" si="6"/>
        <v>1.47</v>
      </c>
      <c r="F195" s="407"/>
    </row>
    <row r="196" spans="1:6" s="12" customFormat="1" ht="15" x14ac:dyDescent="0.2">
      <c r="A196" s="69"/>
      <c r="B196" s="70"/>
      <c r="C196" s="45"/>
      <c r="D196" s="53"/>
      <c r="E196" s="45"/>
      <c r="F196" s="35"/>
    </row>
    <row r="197" spans="1:6" s="1" customFormat="1" ht="15" x14ac:dyDescent="0.2">
      <c r="A197" s="402" t="s">
        <v>227</v>
      </c>
      <c r="B197" s="404"/>
      <c r="C197" s="404"/>
      <c r="D197" s="404"/>
      <c r="E197" s="404"/>
      <c r="F197" s="31">
        <f>F158+F177</f>
        <v>76.670999999999992</v>
      </c>
    </row>
    <row r="198" spans="1:6" s="1" customFormat="1" ht="15" x14ac:dyDescent="0.2">
      <c r="A198" s="19"/>
      <c r="B198" s="50"/>
      <c r="C198" s="50"/>
      <c r="D198" s="50"/>
      <c r="E198" s="50"/>
      <c r="F198" s="61"/>
    </row>
    <row r="199" spans="1:6" ht="26.1" customHeight="1" x14ac:dyDescent="0.2">
      <c r="A199" s="59" t="s">
        <v>231</v>
      </c>
      <c r="B199" s="387" t="s">
        <v>32</v>
      </c>
      <c r="C199" s="387"/>
      <c r="D199" s="387"/>
      <c r="E199" s="7" t="s">
        <v>33</v>
      </c>
      <c r="F199" s="60">
        <f>D217</f>
        <v>49</v>
      </c>
    </row>
    <row r="200" spans="1:6" s="1" customFormat="1" ht="15" x14ac:dyDescent="0.2">
      <c r="A200" s="19"/>
      <c r="B200" s="50"/>
      <c r="C200" s="50"/>
      <c r="D200" s="50"/>
      <c r="E200" s="50"/>
      <c r="F200" s="61"/>
    </row>
    <row r="201" spans="1:6" s="1" customFormat="1" ht="15" x14ac:dyDescent="0.2">
      <c r="A201" s="402" t="s">
        <v>201</v>
      </c>
      <c r="B201" s="2" t="s">
        <v>186</v>
      </c>
      <c r="C201" s="2" t="s">
        <v>295</v>
      </c>
      <c r="D201" s="2" t="s">
        <v>296</v>
      </c>
      <c r="E201" s="43"/>
      <c r="F201" s="33"/>
    </row>
    <row r="202" spans="1:6" s="1" customFormat="1" ht="15" x14ac:dyDescent="0.2">
      <c r="A202" s="402"/>
      <c r="B202" s="3" t="s">
        <v>209</v>
      </c>
      <c r="C202" s="5">
        <v>8</v>
      </c>
      <c r="D202" s="401">
        <f>SUM(C202:C207)</f>
        <v>24</v>
      </c>
      <c r="E202" s="45"/>
      <c r="F202" s="400"/>
    </row>
    <row r="203" spans="1:6" s="1" customFormat="1" ht="15" x14ac:dyDescent="0.2">
      <c r="A203" s="402"/>
      <c r="B203" s="3" t="s">
        <v>210</v>
      </c>
      <c r="C203" s="5">
        <v>6</v>
      </c>
      <c r="D203" s="401"/>
      <c r="E203" s="45"/>
      <c r="F203" s="400"/>
    </row>
    <row r="204" spans="1:6" s="1" customFormat="1" ht="15" x14ac:dyDescent="0.2">
      <c r="A204" s="402"/>
      <c r="B204" s="3" t="s">
        <v>212</v>
      </c>
      <c r="C204" s="5">
        <v>2</v>
      </c>
      <c r="D204" s="401"/>
      <c r="E204" s="45"/>
      <c r="F204" s="400"/>
    </row>
    <row r="205" spans="1:6" s="1" customFormat="1" ht="15" x14ac:dyDescent="0.2">
      <c r="A205" s="402"/>
      <c r="B205" s="3" t="s">
        <v>212</v>
      </c>
      <c r="C205" s="5">
        <v>2</v>
      </c>
      <c r="D205" s="401"/>
      <c r="E205" s="45"/>
      <c r="F205" s="400"/>
    </row>
    <row r="206" spans="1:6" s="1" customFormat="1" ht="15" x14ac:dyDescent="0.2">
      <c r="A206" s="402"/>
      <c r="B206" s="3" t="s">
        <v>215</v>
      </c>
      <c r="C206" s="5">
        <v>3</v>
      </c>
      <c r="D206" s="401"/>
      <c r="E206" s="45"/>
      <c r="F206" s="400"/>
    </row>
    <row r="207" spans="1:6" s="1" customFormat="1" ht="15" x14ac:dyDescent="0.2">
      <c r="A207" s="402"/>
      <c r="B207" s="3" t="s">
        <v>216</v>
      </c>
      <c r="C207" s="5">
        <v>3</v>
      </c>
      <c r="D207" s="401"/>
      <c r="E207" s="45"/>
      <c r="F207" s="400"/>
    </row>
    <row r="208" spans="1:6" s="1" customFormat="1" ht="15" x14ac:dyDescent="0.2">
      <c r="A208" s="19"/>
      <c r="B208" s="50"/>
      <c r="C208" s="50"/>
      <c r="D208" s="50"/>
      <c r="E208" s="50"/>
      <c r="F208" s="61"/>
    </row>
    <row r="209" spans="1:6" s="1" customFormat="1" ht="15" x14ac:dyDescent="0.2">
      <c r="A209" s="402" t="s">
        <v>219</v>
      </c>
      <c r="B209" s="2" t="s">
        <v>186</v>
      </c>
      <c r="C209" s="2" t="s">
        <v>295</v>
      </c>
      <c r="D209" s="2" t="s">
        <v>296</v>
      </c>
      <c r="E209" s="43"/>
      <c r="F209" s="33"/>
    </row>
    <row r="210" spans="1:6" s="1" customFormat="1" ht="15" x14ac:dyDescent="0.2">
      <c r="A210" s="402"/>
      <c r="B210" s="3" t="s">
        <v>209</v>
      </c>
      <c r="C210" s="5">
        <v>10</v>
      </c>
      <c r="D210" s="401">
        <f>SUM(C210:C215)</f>
        <v>25</v>
      </c>
      <c r="E210" s="45"/>
      <c r="F210" s="400"/>
    </row>
    <row r="211" spans="1:6" s="1" customFormat="1" ht="15" x14ac:dyDescent="0.2">
      <c r="A211" s="402"/>
      <c r="B211" s="3" t="s">
        <v>210</v>
      </c>
      <c r="C211" s="5">
        <v>7</v>
      </c>
      <c r="D211" s="401"/>
      <c r="E211" s="45"/>
      <c r="F211" s="400"/>
    </row>
    <row r="212" spans="1:6" s="1" customFormat="1" ht="15" x14ac:dyDescent="0.2">
      <c r="A212" s="402"/>
      <c r="B212" s="3" t="s">
        <v>223</v>
      </c>
      <c r="C212" s="5">
        <v>2</v>
      </c>
      <c r="D212" s="401"/>
      <c r="E212" s="45"/>
      <c r="F212" s="400"/>
    </row>
    <row r="213" spans="1:6" s="1" customFormat="1" ht="15" x14ac:dyDescent="0.2">
      <c r="A213" s="402"/>
      <c r="B213" s="3" t="s">
        <v>224</v>
      </c>
      <c r="C213" s="5">
        <v>2</v>
      </c>
      <c r="D213" s="401"/>
      <c r="E213" s="45"/>
      <c r="F213" s="400"/>
    </row>
    <row r="214" spans="1:6" s="1" customFormat="1" ht="15" x14ac:dyDescent="0.2">
      <c r="A214" s="402"/>
      <c r="B214" s="3" t="s">
        <v>226</v>
      </c>
      <c r="C214" s="5">
        <v>2</v>
      </c>
      <c r="D214" s="401"/>
      <c r="E214" s="45"/>
      <c r="F214" s="400"/>
    </row>
    <row r="215" spans="1:6" s="1" customFormat="1" ht="15" x14ac:dyDescent="0.2">
      <c r="A215" s="402"/>
      <c r="B215" s="3" t="s">
        <v>226</v>
      </c>
      <c r="C215" s="5">
        <v>2</v>
      </c>
      <c r="D215" s="401"/>
      <c r="E215" s="45"/>
      <c r="F215" s="400"/>
    </row>
    <row r="216" spans="1:6" s="12" customFormat="1" ht="15" x14ac:dyDescent="0.2">
      <c r="A216" s="69"/>
      <c r="B216" s="70"/>
      <c r="C216" s="45"/>
      <c r="D216" s="53"/>
      <c r="E216" s="45"/>
      <c r="F216" s="35"/>
    </row>
    <row r="217" spans="1:6" s="1" customFormat="1" ht="15" x14ac:dyDescent="0.2">
      <c r="A217" s="402" t="s">
        <v>227</v>
      </c>
      <c r="B217" s="404"/>
      <c r="C217" s="404"/>
      <c r="D217" s="13">
        <f>D202+D210</f>
        <v>49</v>
      </c>
      <c r="E217" s="71"/>
      <c r="F217" s="35"/>
    </row>
    <row r="218" spans="1:6" s="1" customFormat="1" ht="15" x14ac:dyDescent="0.2">
      <c r="A218" s="19"/>
      <c r="B218" s="50"/>
      <c r="C218" s="50"/>
      <c r="D218" s="50"/>
      <c r="E218" s="50"/>
      <c r="F218" s="61"/>
    </row>
    <row r="219" spans="1:6" ht="26.1" customHeight="1" x14ac:dyDescent="0.2">
      <c r="A219" s="59" t="s">
        <v>232</v>
      </c>
      <c r="B219" s="387" t="s">
        <v>34</v>
      </c>
      <c r="C219" s="387"/>
      <c r="D219" s="387"/>
      <c r="E219" s="7" t="s">
        <v>33</v>
      </c>
      <c r="F219" s="60">
        <f>D253</f>
        <v>194</v>
      </c>
    </row>
    <row r="220" spans="1:6" s="1" customFormat="1" ht="15" x14ac:dyDescent="0.2">
      <c r="A220" s="19"/>
      <c r="B220" s="50"/>
      <c r="C220" s="50"/>
      <c r="D220" s="50"/>
      <c r="E220" s="50"/>
      <c r="F220" s="61"/>
    </row>
    <row r="221" spans="1:6" s="1" customFormat="1" ht="15" x14ac:dyDescent="0.2">
      <c r="A221" s="402" t="s">
        <v>201</v>
      </c>
      <c r="B221" s="2" t="s">
        <v>186</v>
      </c>
      <c r="C221" s="2" t="s">
        <v>301</v>
      </c>
      <c r="D221" s="2" t="s">
        <v>302</v>
      </c>
      <c r="E221" s="43"/>
      <c r="F221" s="33"/>
    </row>
    <row r="222" spans="1:6" s="1" customFormat="1" ht="15" x14ac:dyDescent="0.2">
      <c r="A222" s="402"/>
      <c r="B222" s="3" t="s">
        <v>202</v>
      </c>
      <c r="C222" s="5">
        <v>10</v>
      </c>
      <c r="D222" s="401">
        <f>SUM(C222:C237)</f>
        <v>104</v>
      </c>
      <c r="E222" s="45"/>
      <c r="F222" s="400"/>
    </row>
    <row r="223" spans="1:6" s="1" customFormat="1" ht="15" x14ac:dyDescent="0.2">
      <c r="A223" s="402"/>
      <c r="B223" s="3" t="s">
        <v>203</v>
      </c>
      <c r="C223" s="5">
        <v>10</v>
      </c>
      <c r="D223" s="401"/>
      <c r="E223" s="45"/>
      <c r="F223" s="400"/>
    </row>
    <row r="224" spans="1:6" s="1" customFormat="1" ht="15" x14ac:dyDescent="0.2">
      <c r="A224" s="402"/>
      <c r="B224" s="3" t="s">
        <v>204</v>
      </c>
      <c r="C224" s="5">
        <v>10</v>
      </c>
      <c r="D224" s="401"/>
      <c r="E224" s="45"/>
      <c r="F224" s="400"/>
    </row>
    <row r="225" spans="1:6" s="1" customFormat="1" ht="15" x14ac:dyDescent="0.2">
      <c r="A225" s="402"/>
      <c r="B225" s="3" t="s">
        <v>205</v>
      </c>
      <c r="C225" s="5">
        <v>10</v>
      </c>
      <c r="D225" s="401"/>
      <c r="E225" s="45"/>
      <c r="F225" s="400"/>
    </row>
    <row r="226" spans="1:6" s="1" customFormat="1" ht="15" x14ac:dyDescent="0.2">
      <c r="A226" s="402"/>
      <c r="B226" s="3" t="s">
        <v>206</v>
      </c>
      <c r="C226" s="5">
        <v>10</v>
      </c>
      <c r="D226" s="401"/>
      <c r="E226" s="45"/>
      <c r="F226" s="400"/>
    </row>
    <row r="227" spans="1:6" s="1" customFormat="1" ht="15" x14ac:dyDescent="0.2">
      <c r="A227" s="402"/>
      <c r="B227" s="3" t="s">
        <v>207</v>
      </c>
      <c r="C227" s="5">
        <v>10</v>
      </c>
      <c r="D227" s="401"/>
      <c r="E227" s="45"/>
      <c r="F227" s="400"/>
    </row>
    <row r="228" spans="1:6" s="1" customFormat="1" ht="15" x14ac:dyDescent="0.2">
      <c r="A228" s="402"/>
      <c r="B228" s="3" t="s">
        <v>209</v>
      </c>
      <c r="C228" s="5">
        <v>2</v>
      </c>
      <c r="D228" s="401"/>
      <c r="E228" s="45"/>
      <c r="F228" s="400"/>
    </row>
    <row r="229" spans="1:6" s="1" customFormat="1" ht="15" x14ac:dyDescent="0.2">
      <c r="A229" s="402"/>
      <c r="B229" s="3" t="s">
        <v>210</v>
      </c>
      <c r="C229" s="5">
        <v>2</v>
      </c>
      <c r="D229" s="401"/>
      <c r="E229" s="45"/>
      <c r="F229" s="400"/>
    </row>
    <row r="230" spans="1:6" s="1" customFormat="1" ht="15" x14ac:dyDescent="0.2">
      <c r="A230" s="402"/>
      <c r="B230" s="3" t="s">
        <v>300</v>
      </c>
      <c r="C230" s="5">
        <v>23</v>
      </c>
      <c r="D230" s="401"/>
      <c r="E230" s="45"/>
      <c r="F230" s="400"/>
    </row>
    <row r="231" spans="1:6" s="1" customFormat="1" ht="15" x14ac:dyDescent="0.2">
      <c r="A231" s="402"/>
      <c r="B231" s="3" t="s">
        <v>211</v>
      </c>
      <c r="C231" s="5">
        <v>3</v>
      </c>
      <c r="D231" s="401"/>
      <c r="E231" s="45"/>
      <c r="F231" s="400"/>
    </row>
    <row r="232" spans="1:6" s="1" customFormat="1" ht="15" x14ac:dyDescent="0.2">
      <c r="A232" s="402"/>
      <c r="B232" s="3" t="s">
        <v>212</v>
      </c>
      <c r="C232" s="5">
        <v>1</v>
      </c>
      <c r="D232" s="401"/>
      <c r="E232" s="45"/>
      <c r="F232" s="400"/>
    </row>
    <row r="233" spans="1:6" s="1" customFormat="1" ht="15" x14ac:dyDescent="0.2">
      <c r="A233" s="402"/>
      <c r="B233" s="3" t="s">
        <v>212</v>
      </c>
      <c r="C233" s="5">
        <v>1</v>
      </c>
      <c r="D233" s="401"/>
      <c r="E233" s="45"/>
      <c r="F233" s="400"/>
    </row>
    <row r="234" spans="1:6" s="1" customFormat="1" ht="15" x14ac:dyDescent="0.2">
      <c r="A234" s="402"/>
      <c r="B234" s="3" t="s">
        <v>213</v>
      </c>
      <c r="C234" s="5">
        <v>2</v>
      </c>
      <c r="D234" s="401"/>
      <c r="E234" s="45"/>
      <c r="F234" s="400"/>
    </row>
    <row r="235" spans="1:6" s="1" customFormat="1" ht="15" x14ac:dyDescent="0.2">
      <c r="A235" s="402"/>
      <c r="B235" s="3" t="s">
        <v>214</v>
      </c>
      <c r="C235" s="5">
        <v>4</v>
      </c>
      <c r="D235" s="401"/>
      <c r="E235" s="45"/>
      <c r="F235" s="400"/>
    </row>
    <row r="236" spans="1:6" s="1" customFormat="1" ht="15" x14ac:dyDescent="0.2">
      <c r="A236" s="402"/>
      <c r="B236" s="3" t="s">
        <v>215</v>
      </c>
      <c r="C236" s="5">
        <v>3</v>
      </c>
      <c r="D236" s="401"/>
      <c r="E236" s="45"/>
      <c r="F236" s="400"/>
    </row>
    <row r="237" spans="1:6" s="1" customFormat="1" ht="15" x14ac:dyDescent="0.2">
      <c r="A237" s="402"/>
      <c r="B237" s="3" t="s">
        <v>216</v>
      </c>
      <c r="C237" s="5">
        <v>3</v>
      </c>
      <c r="D237" s="401"/>
      <c r="E237" s="45"/>
      <c r="F237" s="400"/>
    </row>
    <row r="238" spans="1:6" s="1" customFormat="1" ht="15" x14ac:dyDescent="0.2">
      <c r="A238" s="19"/>
      <c r="B238" s="50"/>
      <c r="C238" s="50"/>
      <c r="D238" s="50"/>
      <c r="E238" s="50"/>
      <c r="F238" s="61"/>
    </row>
    <row r="239" spans="1:6" s="1" customFormat="1" ht="15" x14ac:dyDescent="0.2">
      <c r="A239" s="402" t="s">
        <v>219</v>
      </c>
      <c r="B239" s="2" t="s">
        <v>186</v>
      </c>
      <c r="C239" s="2" t="s">
        <v>301</v>
      </c>
      <c r="D239" s="11" t="s">
        <v>299</v>
      </c>
      <c r="E239" s="43"/>
      <c r="F239" s="33"/>
    </row>
    <row r="240" spans="1:6" s="1" customFormat="1" ht="15" x14ac:dyDescent="0.2">
      <c r="A240" s="402"/>
      <c r="B240" s="3" t="s">
        <v>202</v>
      </c>
      <c r="C240" s="5">
        <v>10</v>
      </c>
      <c r="D240" s="401">
        <f>SUM(C240:C251)</f>
        <v>90</v>
      </c>
      <c r="E240" s="45"/>
      <c r="F240" s="400"/>
    </row>
    <row r="241" spans="1:6" s="1" customFormat="1" ht="15" x14ac:dyDescent="0.2">
      <c r="A241" s="402"/>
      <c r="B241" s="3" t="s">
        <v>203</v>
      </c>
      <c r="C241" s="5">
        <v>10</v>
      </c>
      <c r="D241" s="401"/>
      <c r="E241" s="45"/>
      <c r="F241" s="400"/>
    </row>
    <row r="242" spans="1:6" s="1" customFormat="1" ht="15" x14ac:dyDescent="0.2">
      <c r="A242" s="402"/>
      <c r="B242" s="3" t="s">
        <v>204</v>
      </c>
      <c r="C242" s="5">
        <v>10</v>
      </c>
      <c r="D242" s="401"/>
      <c r="E242" s="45"/>
      <c r="F242" s="400"/>
    </row>
    <row r="243" spans="1:6" s="1" customFormat="1" ht="15" x14ac:dyDescent="0.2">
      <c r="A243" s="402"/>
      <c r="B243" s="3" t="s">
        <v>205</v>
      </c>
      <c r="C243" s="5">
        <v>10</v>
      </c>
      <c r="D243" s="401"/>
      <c r="E243" s="45"/>
      <c r="F243" s="400"/>
    </row>
    <row r="244" spans="1:6" s="1" customFormat="1" ht="15" x14ac:dyDescent="0.2">
      <c r="A244" s="402"/>
      <c r="B244" s="3" t="s">
        <v>206</v>
      </c>
      <c r="C244" s="5">
        <v>10</v>
      </c>
      <c r="D244" s="401"/>
      <c r="E244" s="45"/>
      <c r="F244" s="400"/>
    </row>
    <row r="245" spans="1:6" s="1" customFormat="1" ht="15" x14ac:dyDescent="0.2">
      <c r="A245" s="402"/>
      <c r="B245" s="3" t="s">
        <v>207</v>
      </c>
      <c r="C245" s="5">
        <v>10</v>
      </c>
      <c r="D245" s="401"/>
      <c r="E245" s="45"/>
      <c r="F245" s="400"/>
    </row>
    <row r="246" spans="1:6" s="1" customFormat="1" ht="15" x14ac:dyDescent="0.2">
      <c r="A246" s="402"/>
      <c r="B246" s="9" t="s">
        <v>209</v>
      </c>
      <c r="C246" s="5">
        <v>3</v>
      </c>
      <c r="D246" s="401"/>
      <c r="E246" s="45"/>
      <c r="F246" s="400"/>
    </row>
    <row r="247" spans="1:6" s="1" customFormat="1" ht="15" x14ac:dyDescent="0.2">
      <c r="A247" s="402"/>
      <c r="B247" s="9" t="s">
        <v>210</v>
      </c>
      <c r="C247" s="5">
        <v>3</v>
      </c>
      <c r="D247" s="401"/>
      <c r="E247" s="45"/>
      <c r="F247" s="400"/>
    </row>
    <row r="248" spans="1:6" s="1" customFormat="1" ht="25.5" x14ac:dyDescent="0.2">
      <c r="A248" s="402"/>
      <c r="B248" s="3" t="s">
        <v>220</v>
      </c>
      <c r="C248" s="5">
        <v>10</v>
      </c>
      <c r="D248" s="401"/>
      <c r="E248" s="45"/>
      <c r="F248" s="400"/>
    </row>
    <row r="249" spans="1:6" s="1" customFormat="1" ht="15" x14ac:dyDescent="0.2">
      <c r="A249" s="402"/>
      <c r="B249" s="3" t="s">
        <v>211</v>
      </c>
      <c r="C249" s="5">
        <v>12</v>
      </c>
      <c r="D249" s="401"/>
      <c r="E249" s="45"/>
      <c r="F249" s="400"/>
    </row>
    <row r="250" spans="1:6" s="1" customFormat="1" ht="15" x14ac:dyDescent="0.2">
      <c r="A250" s="402"/>
      <c r="B250" s="3" t="s">
        <v>223</v>
      </c>
      <c r="C250" s="5">
        <v>1</v>
      </c>
      <c r="D250" s="401"/>
      <c r="E250" s="45"/>
      <c r="F250" s="400"/>
    </row>
    <row r="251" spans="1:6" s="1" customFormat="1" ht="15" x14ac:dyDescent="0.2">
      <c r="A251" s="402"/>
      <c r="B251" s="3" t="s">
        <v>224</v>
      </c>
      <c r="C251" s="5">
        <v>1</v>
      </c>
      <c r="D251" s="401"/>
      <c r="E251" s="45"/>
      <c r="F251" s="400"/>
    </row>
    <row r="252" spans="1:6" s="12" customFormat="1" ht="15" x14ac:dyDescent="0.2">
      <c r="A252" s="69"/>
      <c r="B252" s="70"/>
      <c r="C252" s="45"/>
      <c r="D252" s="53"/>
      <c r="E252" s="45"/>
      <c r="F252" s="35"/>
    </row>
    <row r="253" spans="1:6" s="1" customFormat="1" ht="15" x14ac:dyDescent="0.2">
      <c r="A253" s="384" t="s">
        <v>227</v>
      </c>
      <c r="B253" s="385"/>
      <c r="C253" s="386"/>
      <c r="D253" s="13">
        <f>D222+D240</f>
        <v>194</v>
      </c>
      <c r="E253" s="72"/>
      <c r="F253" s="35"/>
    </row>
    <row r="254" spans="1:6" s="1" customFormat="1" ht="15" x14ac:dyDescent="0.2">
      <c r="A254" s="19"/>
      <c r="B254" s="50"/>
      <c r="C254" s="50"/>
      <c r="D254" s="50"/>
      <c r="E254" s="50"/>
      <c r="F254" s="61"/>
    </row>
    <row r="255" spans="1:6" ht="26.1" customHeight="1" x14ac:dyDescent="0.2">
      <c r="A255" s="59" t="s">
        <v>233</v>
      </c>
      <c r="B255" s="387" t="s">
        <v>35</v>
      </c>
      <c r="C255" s="387"/>
      <c r="D255" s="387"/>
      <c r="E255" s="7" t="s">
        <v>33</v>
      </c>
      <c r="F255" s="60">
        <f>D289</f>
        <v>179</v>
      </c>
    </row>
    <row r="256" spans="1:6" s="1" customFormat="1" ht="15" x14ac:dyDescent="0.2">
      <c r="A256" s="19"/>
      <c r="B256" s="50"/>
      <c r="C256" s="50"/>
      <c r="D256" s="50"/>
      <c r="E256" s="50"/>
      <c r="F256" s="61"/>
    </row>
    <row r="257" spans="1:6" s="1" customFormat="1" ht="15" x14ac:dyDescent="0.2">
      <c r="A257" s="402" t="s">
        <v>201</v>
      </c>
      <c r="B257" s="2" t="s">
        <v>186</v>
      </c>
      <c r="C257" s="2" t="s">
        <v>301</v>
      </c>
      <c r="D257" s="2" t="s">
        <v>302</v>
      </c>
      <c r="E257" s="43"/>
      <c r="F257" s="33"/>
    </row>
    <row r="258" spans="1:6" s="1" customFormat="1" ht="15" x14ac:dyDescent="0.2">
      <c r="A258" s="402"/>
      <c r="B258" s="3" t="s">
        <v>202</v>
      </c>
      <c r="C258" s="5">
        <v>8</v>
      </c>
      <c r="D258" s="401">
        <f>SUM(C258:C273)</f>
        <v>89</v>
      </c>
      <c r="E258" s="45"/>
      <c r="F258" s="400"/>
    </row>
    <row r="259" spans="1:6" s="1" customFormat="1" ht="15" x14ac:dyDescent="0.2">
      <c r="A259" s="402"/>
      <c r="B259" s="3" t="s">
        <v>203</v>
      </c>
      <c r="C259" s="5">
        <v>8</v>
      </c>
      <c r="D259" s="401"/>
      <c r="E259" s="45"/>
      <c r="F259" s="400"/>
    </row>
    <row r="260" spans="1:6" s="1" customFormat="1" ht="15" x14ac:dyDescent="0.2">
      <c r="A260" s="402"/>
      <c r="B260" s="3" t="s">
        <v>204</v>
      </c>
      <c r="C260" s="5">
        <v>8</v>
      </c>
      <c r="D260" s="401"/>
      <c r="E260" s="45"/>
      <c r="F260" s="400"/>
    </row>
    <row r="261" spans="1:6" s="1" customFormat="1" ht="15" x14ac:dyDescent="0.2">
      <c r="A261" s="402"/>
      <c r="B261" s="3" t="s">
        <v>205</v>
      </c>
      <c r="C261" s="5">
        <v>8</v>
      </c>
      <c r="D261" s="401"/>
      <c r="E261" s="45"/>
      <c r="F261" s="400"/>
    </row>
    <row r="262" spans="1:6" s="1" customFormat="1" ht="15" x14ac:dyDescent="0.2">
      <c r="A262" s="402"/>
      <c r="B262" s="3" t="s">
        <v>206</v>
      </c>
      <c r="C262" s="5">
        <v>8</v>
      </c>
      <c r="D262" s="401"/>
      <c r="E262" s="45"/>
      <c r="F262" s="400"/>
    </row>
    <row r="263" spans="1:6" s="1" customFormat="1" ht="15" x14ac:dyDescent="0.2">
      <c r="A263" s="402"/>
      <c r="B263" s="3" t="s">
        <v>207</v>
      </c>
      <c r="C263" s="5">
        <v>8</v>
      </c>
      <c r="D263" s="401"/>
      <c r="E263" s="45"/>
      <c r="F263" s="400"/>
    </row>
    <row r="264" spans="1:6" s="1" customFormat="1" ht="15" x14ac:dyDescent="0.2">
      <c r="A264" s="402"/>
      <c r="B264" s="3" t="s">
        <v>209</v>
      </c>
      <c r="C264" s="5">
        <v>1</v>
      </c>
      <c r="D264" s="401"/>
      <c r="E264" s="45"/>
      <c r="F264" s="400"/>
    </row>
    <row r="265" spans="1:6" s="1" customFormat="1" ht="15" x14ac:dyDescent="0.2">
      <c r="A265" s="402"/>
      <c r="B265" s="3" t="s">
        <v>210</v>
      </c>
      <c r="C265" s="5">
        <v>1</v>
      </c>
      <c r="D265" s="401"/>
      <c r="E265" s="45"/>
      <c r="F265" s="400"/>
    </row>
    <row r="266" spans="1:6" s="1" customFormat="1" ht="15" x14ac:dyDescent="0.2">
      <c r="A266" s="402"/>
      <c r="B266" s="3" t="s">
        <v>300</v>
      </c>
      <c r="C266" s="5">
        <v>16</v>
      </c>
      <c r="D266" s="401"/>
      <c r="E266" s="45"/>
      <c r="F266" s="400"/>
    </row>
    <row r="267" spans="1:6" s="1" customFormat="1" ht="15" x14ac:dyDescent="0.2">
      <c r="A267" s="402"/>
      <c r="B267" s="3" t="s">
        <v>211</v>
      </c>
      <c r="C267" s="5">
        <v>4</v>
      </c>
      <c r="D267" s="401"/>
      <c r="E267" s="45"/>
      <c r="F267" s="400"/>
    </row>
    <row r="268" spans="1:6" s="1" customFormat="1" ht="15" x14ac:dyDescent="0.2">
      <c r="A268" s="402"/>
      <c r="B268" s="3" t="s">
        <v>212</v>
      </c>
      <c r="C268" s="5">
        <v>1</v>
      </c>
      <c r="D268" s="401"/>
      <c r="E268" s="45"/>
      <c r="F268" s="400"/>
    </row>
    <row r="269" spans="1:6" s="1" customFormat="1" ht="15" x14ac:dyDescent="0.2">
      <c r="A269" s="402"/>
      <c r="B269" s="3" t="s">
        <v>212</v>
      </c>
      <c r="C269" s="5">
        <v>1</v>
      </c>
      <c r="D269" s="401"/>
      <c r="E269" s="45"/>
      <c r="F269" s="400"/>
    </row>
    <row r="270" spans="1:6" s="1" customFormat="1" ht="15" x14ac:dyDescent="0.2">
      <c r="A270" s="402"/>
      <c r="B270" s="3" t="s">
        <v>213</v>
      </c>
      <c r="C270" s="5">
        <v>6</v>
      </c>
      <c r="D270" s="401"/>
      <c r="E270" s="45"/>
      <c r="F270" s="400"/>
    </row>
    <row r="271" spans="1:6" s="1" customFormat="1" ht="15" x14ac:dyDescent="0.2">
      <c r="A271" s="402"/>
      <c r="B271" s="3" t="s">
        <v>214</v>
      </c>
      <c r="C271" s="5">
        <v>7</v>
      </c>
      <c r="D271" s="401"/>
      <c r="E271" s="45"/>
      <c r="F271" s="400"/>
    </row>
    <row r="272" spans="1:6" s="1" customFormat="1" ht="15" x14ac:dyDescent="0.2">
      <c r="A272" s="402"/>
      <c r="B272" s="3" t="s">
        <v>215</v>
      </c>
      <c r="C272" s="5">
        <v>2</v>
      </c>
      <c r="D272" s="401"/>
      <c r="E272" s="45"/>
      <c r="F272" s="400"/>
    </row>
    <row r="273" spans="1:6" s="1" customFormat="1" ht="15" x14ac:dyDescent="0.2">
      <c r="A273" s="402"/>
      <c r="B273" s="3" t="s">
        <v>216</v>
      </c>
      <c r="C273" s="5">
        <v>2</v>
      </c>
      <c r="D273" s="401"/>
      <c r="E273" s="45"/>
      <c r="F273" s="400"/>
    </row>
    <row r="274" spans="1:6" s="1" customFormat="1" ht="15" x14ac:dyDescent="0.2">
      <c r="A274" s="19"/>
      <c r="B274" s="50"/>
      <c r="C274" s="50"/>
      <c r="D274" s="50"/>
      <c r="E274" s="50"/>
      <c r="F274" s="61"/>
    </row>
    <row r="275" spans="1:6" s="1" customFormat="1" ht="15" x14ac:dyDescent="0.2">
      <c r="A275" s="402" t="s">
        <v>219</v>
      </c>
      <c r="B275" s="2" t="s">
        <v>186</v>
      </c>
      <c r="C275" s="2" t="s">
        <v>301</v>
      </c>
      <c r="D275" s="11" t="s">
        <v>299</v>
      </c>
      <c r="E275" s="43"/>
      <c r="F275" s="33"/>
    </row>
    <row r="276" spans="1:6" s="1" customFormat="1" ht="15" x14ac:dyDescent="0.2">
      <c r="A276" s="402"/>
      <c r="B276" s="3" t="s">
        <v>202</v>
      </c>
      <c r="C276" s="5">
        <v>10</v>
      </c>
      <c r="D276" s="401">
        <f>SUM(C276:C287)</f>
        <v>90</v>
      </c>
      <c r="E276" s="45"/>
      <c r="F276" s="400"/>
    </row>
    <row r="277" spans="1:6" s="1" customFormat="1" ht="15" x14ac:dyDescent="0.2">
      <c r="A277" s="402"/>
      <c r="B277" s="3" t="s">
        <v>203</v>
      </c>
      <c r="C277" s="5">
        <v>10</v>
      </c>
      <c r="D277" s="401"/>
      <c r="E277" s="45"/>
      <c r="F277" s="400"/>
    </row>
    <row r="278" spans="1:6" s="1" customFormat="1" ht="15" x14ac:dyDescent="0.2">
      <c r="A278" s="402"/>
      <c r="B278" s="3" t="s">
        <v>204</v>
      </c>
      <c r="C278" s="5">
        <v>10</v>
      </c>
      <c r="D278" s="401"/>
      <c r="E278" s="45"/>
      <c r="F278" s="400"/>
    </row>
    <row r="279" spans="1:6" s="1" customFormat="1" ht="15" x14ac:dyDescent="0.2">
      <c r="A279" s="402"/>
      <c r="B279" s="3" t="s">
        <v>205</v>
      </c>
      <c r="C279" s="5">
        <v>10</v>
      </c>
      <c r="D279" s="401"/>
      <c r="E279" s="45"/>
      <c r="F279" s="400"/>
    </row>
    <row r="280" spans="1:6" s="1" customFormat="1" ht="15" x14ac:dyDescent="0.2">
      <c r="A280" s="402"/>
      <c r="B280" s="3" t="s">
        <v>206</v>
      </c>
      <c r="C280" s="5">
        <v>10</v>
      </c>
      <c r="D280" s="401"/>
      <c r="E280" s="45"/>
      <c r="F280" s="400"/>
    </row>
    <row r="281" spans="1:6" s="1" customFormat="1" ht="15" x14ac:dyDescent="0.2">
      <c r="A281" s="402"/>
      <c r="B281" s="3" t="s">
        <v>207</v>
      </c>
      <c r="C281" s="5">
        <v>10</v>
      </c>
      <c r="D281" s="401"/>
      <c r="E281" s="45"/>
      <c r="F281" s="400"/>
    </row>
    <row r="282" spans="1:6" s="1" customFormat="1" ht="15" x14ac:dyDescent="0.2">
      <c r="A282" s="402"/>
      <c r="B282" s="9" t="s">
        <v>209</v>
      </c>
      <c r="C282" s="5">
        <v>3</v>
      </c>
      <c r="D282" s="401"/>
      <c r="E282" s="45"/>
      <c r="F282" s="400"/>
    </row>
    <row r="283" spans="1:6" s="1" customFormat="1" ht="15" x14ac:dyDescent="0.2">
      <c r="A283" s="402"/>
      <c r="B283" s="9" t="s">
        <v>210</v>
      </c>
      <c r="C283" s="5">
        <v>3</v>
      </c>
      <c r="D283" s="401"/>
      <c r="E283" s="45"/>
      <c r="F283" s="400"/>
    </row>
    <row r="284" spans="1:6" s="1" customFormat="1" ht="25.5" x14ac:dyDescent="0.2">
      <c r="A284" s="402"/>
      <c r="B284" s="3" t="s">
        <v>220</v>
      </c>
      <c r="C284" s="5">
        <v>10</v>
      </c>
      <c r="D284" s="401"/>
      <c r="E284" s="45"/>
      <c r="F284" s="400"/>
    </row>
    <row r="285" spans="1:6" s="1" customFormat="1" ht="15" x14ac:dyDescent="0.2">
      <c r="A285" s="402"/>
      <c r="B285" s="3" t="s">
        <v>211</v>
      </c>
      <c r="C285" s="5">
        <v>12</v>
      </c>
      <c r="D285" s="401"/>
      <c r="E285" s="45"/>
      <c r="F285" s="400"/>
    </row>
    <row r="286" spans="1:6" s="1" customFormat="1" ht="15" x14ac:dyDescent="0.2">
      <c r="A286" s="402"/>
      <c r="B286" s="3" t="s">
        <v>223</v>
      </c>
      <c r="C286" s="5">
        <v>1</v>
      </c>
      <c r="D286" s="401"/>
      <c r="E286" s="45"/>
      <c r="F286" s="400"/>
    </row>
    <row r="287" spans="1:6" s="1" customFormat="1" ht="15" x14ac:dyDescent="0.2">
      <c r="A287" s="402"/>
      <c r="B287" s="3" t="s">
        <v>224</v>
      </c>
      <c r="C287" s="5">
        <v>1</v>
      </c>
      <c r="D287" s="401"/>
      <c r="E287" s="45"/>
      <c r="F287" s="400"/>
    </row>
    <row r="288" spans="1:6" s="12" customFormat="1" ht="15" x14ac:dyDescent="0.2">
      <c r="A288" s="69"/>
      <c r="B288" s="70"/>
      <c r="C288" s="45"/>
      <c r="D288" s="53"/>
      <c r="E288" s="45"/>
      <c r="F288" s="35"/>
    </row>
    <row r="289" spans="1:6" s="1" customFormat="1" ht="15" x14ac:dyDescent="0.2">
      <c r="A289" s="384" t="s">
        <v>227</v>
      </c>
      <c r="B289" s="385"/>
      <c r="C289" s="386"/>
      <c r="D289" s="13">
        <f>D258+D276</f>
        <v>179</v>
      </c>
      <c r="E289" s="72"/>
      <c r="F289" s="35"/>
    </row>
    <row r="290" spans="1:6" s="1" customFormat="1" ht="15" x14ac:dyDescent="0.2">
      <c r="A290" s="19"/>
      <c r="B290" s="50"/>
      <c r="C290" s="50"/>
      <c r="D290" s="50"/>
      <c r="E290" s="50"/>
      <c r="F290" s="61"/>
    </row>
    <row r="291" spans="1:6" ht="26.1" customHeight="1" x14ac:dyDescent="0.2">
      <c r="A291" s="59" t="s">
        <v>234</v>
      </c>
      <c r="B291" s="387" t="s">
        <v>36</v>
      </c>
      <c r="C291" s="387"/>
      <c r="D291" s="387"/>
      <c r="E291" s="7" t="s">
        <v>13</v>
      </c>
      <c r="F291" s="60">
        <f>F331</f>
        <v>988.78</v>
      </c>
    </row>
    <row r="292" spans="1:6" s="1" customFormat="1" ht="15" x14ac:dyDescent="0.2">
      <c r="A292" s="19"/>
      <c r="B292" s="50"/>
      <c r="C292" s="50"/>
      <c r="D292" s="50"/>
      <c r="E292" s="50"/>
      <c r="F292" s="61"/>
    </row>
    <row r="293" spans="1:6" s="1" customFormat="1" ht="15" x14ac:dyDescent="0.2">
      <c r="A293" s="63" t="s">
        <v>201</v>
      </c>
      <c r="B293" s="2" t="s">
        <v>186</v>
      </c>
      <c r="C293" s="2" t="s">
        <v>187</v>
      </c>
      <c r="D293" s="2" t="s">
        <v>188</v>
      </c>
      <c r="E293" s="2" t="s">
        <v>194</v>
      </c>
      <c r="F293" s="28" t="s">
        <v>195</v>
      </c>
    </row>
    <row r="294" spans="1:6" s="1" customFormat="1" ht="15" x14ac:dyDescent="0.2">
      <c r="A294" s="380" t="s">
        <v>303</v>
      </c>
      <c r="B294" s="3" t="s">
        <v>202</v>
      </c>
      <c r="C294" s="3"/>
      <c r="D294" s="3"/>
      <c r="E294" s="5">
        <v>40.76</v>
      </c>
      <c r="F294" s="403">
        <f>SUM(E294:E310)</f>
        <v>504.81</v>
      </c>
    </row>
    <row r="295" spans="1:6" s="1" customFormat="1" ht="15" x14ac:dyDescent="0.2">
      <c r="A295" s="380"/>
      <c r="B295" s="3" t="s">
        <v>203</v>
      </c>
      <c r="C295" s="3"/>
      <c r="D295" s="3"/>
      <c r="E295" s="5">
        <v>40</v>
      </c>
      <c r="F295" s="403"/>
    </row>
    <row r="296" spans="1:6" s="1" customFormat="1" ht="15" x14ac:dyDescent="0.2">
      <c r="A296" s="380"/>
      <c r="B296" s="3" t="s">
        <v>204</v>
      </c>
      <c r="C296" s="3"/>
      <c r="D296" s="3"/>
      <c r="E296" s="5">
        <v>40</v>
      </c>
      <c r="F296" s="403"/>
    </row>
    <row r="297" spans="1:6" s="1" customFormat="1" ht="15" x14ac:dyDescent="0.2">
      <c r="A297" s="380"/>
      <c r="B297" s="3" t="s">
        <v>205</v>
      </c>
      <c r="C297" s="3"/>
      <c r="D297" s="3"/>
      <c r="E297" s="5">
        <v>39.200000000000003</v>
      </c>
      <c r="F297" s="403"/>
    </row>
    <row r="298" spans="1:6" s="1" customFormat="1" ht="15" x14ac:dyDescent="0.2">
      <c r="A298" s="380"/>
      <c r="B298" s="3" t="s">
        <v>206</v>
      </c>
      <c r="C298" s="3"/>
      <c r="D298" s="3"/>
      <c r="E298" s="5">
        <v>39.89</v>
      </c>
      <c r="F298" s="403"/>
    </row>
    <row r="299" spans="1:6" s="1" customFormat="1" ht="15" x14ac:dyDescent="0.2">
      <c r="A299" s="380"/>
      <c r="B299" s="3" t="s">
        <v>207</v>
      </c>
      <c r="C299" s="3"/>
      <c r="D299" s="3"/>
      <c r="E299" s="5">
        <v>39.159999999999997</v>
      </c>
      <c r="F299" s="403"/>
    </row>
    <row r="300" spans="1:6" s="1" customFormat="1" ht="15" x14ac:dyDescent="0.2">
      <c r="A300" s="380"/>
      <c r="B300" s="3" t="s">
        <v>208</v>
      </c>
      <c r="C300" s="3"/>
      <c r="D300" s="3"/>
      <c r="E300" s="5">
        <v>165.31</v>
      </c>
      <c r="F300" s="403"/>
    </row>
    <row r="301" spans="1:6" s="1" customFormat="1" ht="15" x14ac:dyDescent="0.2">
      <c r="A301" s="380"/>
      <c r="B301" s="3" t="s">
        <v>209</v>
      </c>
      <c r="C301" s="3"/>
      <c r="D301" s="3"/>
      <c r="E301" s="5">
        <v>10.17</v>
      </c>
      <c r="F301" s="403"/>
    </row>
    <row r="302" spans="1:6" s="1" customFormat="1" ht="15" x14ac:dyDescent="0.2">
      <c r="A302" s="380"/>
      <c r="B302" s="3" t="s">
        <v>210</v>
      </c>
      <c r="C302" s="3"/>
      <c r="D302" s="3"/>
      <c r="E302" s="5">
        <v>10.32</v>
      </c>
      <c r="F302" s="403"/>
    </row>
    <row r="303" spans="1:6" s="1" customFormat="1" ht="15" x14ac:dyDescent="0.2">
      <c r="A303" s="380"/>
      <c r="B303" s="3" t="s">
        <v>211</v>
      </c>
      <c r="C303" s="3"/>
      <c r="D303" s="3"/>
      <c r="E303" s="5">
        <v>11.92</v>
      </c>
      <c r="F303" s="403"/>
    </row>
    <row r="304" spans="1:6" s="1" customFormat="1" ht="15" x14ac:dyDescent="0.2">
      <c r="A304" s="380"/>
      <c r="B304" s="3" t="s">
        <v>212</v>
      </c>
      <c r="C304" s="3"/>
      <c r="D304" s="3"/>
      <c r="E304" s="5">
        <v>1.48</v>
      </c>
      <c r="F304" s="403"/>
    </row>
    <row r="305" spans="1:6" s="1" customFormat="1" ht="15" x14ac:dyDescent="0.2">
      <c r="A305" s="380"/>
      <c r="B305" s="3" t="s">
        <v>212</v>
      </c>
      <c r="C305" s="3"/>
      <c r="D305" s="3"/>
      <c r="E305" s="5">
        <v>1.48</v>
      </c>
      <c r="F305" s="403"/>
    </row>
    <row r="306" spans="1:6" s="1" customFormat="1" ht="15" x14ac:dyDescent="0.2">
      <c r="A306" s="380"/>
      <c r="B306" s="3" t="s">
        <v>213</v>
      </c>
      <c r="C306" s="3"/>
      <c r="D306" s="3"/>
      <c r="E306" s="5">
        <v>10.23</v>
      </c>
      <c r="F306" s="403"/>
    </row>
    <row r="307" spans="1:6" s="1" customFormat="1" ht="15" x14ac:dyDescent="0.2">
      <c r="A307" s="380"/>
      <c r="B307" s="3" t="s">
        <v>214</v>
      </c>
      <c r="C307" s="3"/>
      <c r="D307" s="3"/>
      <c r="E307" s="5">
        <v>18</v>
      </c>
      <c r="F307" s="403"/>
    </row>
    <row r="308" spans="1:6" s="1" customFormat="1" ht="15" x14ac:dyDescent="0.2">
      <c r="A308" s="380"/>
      <c r="B308" s="3" t="s">
        <v>215</v>
      </c>
      <c r="C308" s="3"/>
      <c r="D308" s="3"/>
      <c r="E308" s="5">
        <v>4.12</v>
      </c>
      <c r="F308" s="403"/>
    </row>
    <row r="309" spans="1:6" s="1" customFormat="1" ht="15" x14ac:dyDescent="0.2">
      <c r="A309" s="380"/>
      <c r="B309" s="3" t="s">
        <v>216</v>
      </c>
      <c r="C309" s="3"/>
      <c r="D309" s="3"/>
      <c r="E309" s="5">
        <v>4.12</v>
      </c>
      <c r="F309" s="403"/>
    </row>
    <row r="310" spans="1:6" s="1" customFormat="1" ht="15" x14ac:dyDescent="0.2">
      <c r="A310" s="380"/>
      <c r="B310" s="3" t="s">
        <v>221</v>
      </c>
      <c r="C310" s="3"/>
      <c r="D310" s="3"/>
      <c r="E310" s="5">
        <v>28.65</v>
      </c>
      <c r="F310" s="403"/>
    </row>
    <row r="311" spans="1:6" s="1" customFormat="1" ht="15" x14ac:dyDescent="0.2">
      <c r="A311" s="19"/>
      <c r="B311" s="50"/>
      <c r="C311" s="50"/>
      <c r="D311" s="50"/>
      <c r="E311" s="50"/>
      <c r="F311" s="61"/>
    </row>
    <row r="312" spans="1:6" s="1" customFormat="1" ht="15" x14ac:dyDescent="0.2">
      <c r="A312" s="63" t="s">
        <v>219</v>
      </c>
      <c r="B312" s="2" t="s">
        <v>186</v>
      </c>
      <c r="C312" s="2" t="s">
        <v>187</v>
      </c>
      <c r="D312" s="2" t="s">
        <v>188</v>
      </c>
      <c r="E312" s="2" t="s">
        <v>194</v>
      </c>
      <c r="F312" s="28" t="s">
        <v>195</v>
      </c>
    </row>
    <row r="313" spans="1:6" s="1" customFormat="1" ht="15" x14ac:dyDescent="0.2">
      <c r="A313" s="380" t="s">
        <v>303</v>
      </c>
      <c r="B313" s="3" t="s">
        <v>202</v>
      </c>
      <c r="C313" s="3"/>
      <c r="D313" s="3"/>
      <c r="E313" s="5">
        <v>39.200000000000003</v>
      </c>
      <c r="F313" s="403">
        <f>SUM(E313:E329)</f>
        <v>483.97</v>
      </c>
    </row>
    <row r="314" spans="1:6" s="1" customFormat="1" ht="15" x14ac:dyDescent="0.2">
      <c r="A314" s="380"/>
      <c r="B314" s="3" t="s">
        <v>203</v>
      </c>
      <c r="C314" s="3"/>
      <c r="D314" s="3"/>
      <c r="E314" s="5">
        <v>39.200000000000003</v>
      </c>
      <c r="F314" s="403"/>
    </row>
    <row r="315" spans="1:6" s="1" customFormat="1" ht="15" x14ac:dyDescent="0.2">
      <c r="A315" s="380"/>
      <c r="B315" s="3" t="s">
        <v>204</v>
      </c>
      <c r="C315" s="3"/>
      <c r="D315" s="3"/>
      <c r="E315" s="5">
        <v>40.799999999999997</v>
      </c>
      <c r="F315" s="403"/>
    </row>
    <row r="316" spans="1:6" s="1" customFormat="1" ht="15" x14ac:dyDescent="0.2">
      <c r="A316" s="380"/>
      <c r="B316" s="3" t="s">
        <v>205</v>
      </c>
      <c r="C316" s="3"/>
      <c r="D316" s="3"/>
      <c r="E316" s="5">
        <v>40.799999999999997</v>
      </c>
      <c r="F316" s="403"/>
    </row>
    <row r="317" spans="1:6" s="1" customFormat="1" ht="15" x14ac:dyDescent="0.2">
      <c r="A317" s="380"/>
      <c r="B317" s="3" t="s">
        <v>206</v>
      </c>
      <c r="C317" s="3"/>
      <c r="D317" s="3"/>
      <c r="E317" s="5">
        <v>39.96</v>
      </c>
      <c r="F317" s="403"/>
    </row>
    <row r="318" spans="1:6" s="1" customFormat="1" ht="15" x14ac:dyDescent="0.2">
      <c r="A318" s="380"/>
      <c r="B318" s="3" t="s">
        <v>207</v>
      </c>
      <c r="C318" s="3"/>
      <c r="D318" s="3"/>
      <c r="E318" s="5">
        <v>39.96</v>
      </c>
      <c r="F318" s="403"/>
    </row>
    <row r="319" spans="1:6" s="1" customFormat="1" ht="15" x14ac:dyDescent="0.2">
      <c r="A319" s="380"/>
      <c r="B319" s="3" t="s">
        <v>208</v>
      </c>
      <c r="C319" s="3"/>
      <c r="D319" s="3"/>
      <c r="E319" s="5">
        <v>116.27</v>
      </c>
      <c r="F319" s="403"/>
    </row>
    <row r="320" spans="1:6" s="1" customFormat="1" ht="15" x14ac:dyDescent="0.2">
      <c r="A320" s="380"/>
      <c r="B320" s="3" t="s">
        <v>209</v>
      </c>
      <c r="C320" s="3"/>
      <c r="D320" s="3"/>
      <c r="E320" s="5">
        <v>17.04</v>
      </c>
      <c r="F320" s="403"/>
    </row>
    <row r="321" spans="1:6" s="1" customFormat="1" ht="15" x14ac:dyDescent="0.2">
      <c r="A321" s="380"/>
      <c r="B321" s="3" t="s">
        <v>210</v>
      </c>
      <c r="C321" s="3"/>
      <c r="D321" s="3"/>
      <c r="E321" s="5">
        <v>17.190000000000001</v>
      </c>
      <c r="F321" s="403"/>
    </row>
    <row r="322" spans="1:6" s="1" customFormat="1" ht="25.5" x14ac:dyDescent="0.2">
      <c r="A322" s="380"/>
      <c r="B322" s="3" t="s">
        <v>220</v>
      </c>
      <c r="C322" s="3"/>
      <c r="D322" s="3"/>
      <c r="E322" s="5">
        <v>39.799999999999997</v>
      </c>
      <c r="F322" s="403"/>
    </row>
    <row r="323" spans="1:6" s="1" customFormat="1" ht="15" x14ac:dyDescent="0.2">
      <c r="A323" s="380"/>
      <c r="B323" s="3" t="s">
        <v>211</v>
      </c>
      <c r="C323" s="3"/>
      <c r="D323" s="3"/>
      <c r="E323" s="5">
        <v>15.86</v>
      </c>
      <c r="F323" s="403"/>
    </row>
    <row r="324" spans="1:6" s="1" customFormat="1" ht="15" x14ac:dyDescent="0.2">
      <c r="A324" s="380"/>
      <c r="B324" s="3" t="s">
        <v>222</v>
      </c>
      <c r="C324" s="3"/>
      <c r="D324" s="3"/>
      <c r="E324" s="5">
        <v>4.76</v>
      </c>
      <c r="F324" s="403"/>
    </row>
    <row r="325" spans="1:6" s="1" customFormat="1" ht="15" x14ac:dyDescent="0.2">
      <c r="A325" s="380"/>
      <c r="B325" s="3" t="s">
        <v>223</v>
      </c>
      <c r="C325" s="3"/>
      <c r="D325" s="3"/>
      <c r="E325" s="5">
        <v>3.32</v>
      </c>
      <c r="F325" s="403"/>
    </row>
    <row r="326" spans="1:6" s="1" customFormat="1" ht="15" x14ac:dyDescent="0.2">
      <c r="A326" s="380"/>
      <c r="B326" s="3" t="s">
        <v>224</v>
      </c>
      <c r="C326" s="3"/>
      <c r="D326" s="3"/>
      <c r="E326" s="5">
        <v>3.79</v>
      </c>
      <c r="F326" s="403"/>
    </row>
    <row r="327" spans="1:6" s="1" customFormat="1" ht="15" x14ac:dyDescent="0.2">
      <c r="A327" s="380"/>
      <c r="B327" s="3" t="s">
        <v>226</v>
      </c>
      <c r="C327" s="3"/>
      <c r="D327" s="3"/>
      <c r="E327" s="5">
        <v>2.5099999999999998</v>
      </c>
      <c r="F327" s="403"/>
    </row>
    <row r="328" spans="1:6" s="1" customFormat="1" ht="15" x14ac:dyDescent="0.2">
      <c r="A328" s="380"/>
      <c r="B328" s="3" t="s">
        <v>226</v>
      </c>
      <c r="C328" s="3"/>
      <c r="D328" s="3"/>
      <c r="E328" s="5">
        <v>2.5099999999999998</v>
      </c>
      <c r="F328" s="403"/>
    </row>
    <row r="329" spans="1:6" s="1" customFormat="1" ht="26.25" customHeight="1" x14ac:dyDescent="0.2">
      <c r="A329" s="380"/>
      <c r="B329" s="3" t="s">
        <v>225</v>
      </c>
      <c r="C329" s="3"/>
      <c r="D329" s="3"/>
      <c r="E329" s="5">
        <f>21</f>
        <v>21</v>
      </c>
      <c r="F329" s="403"/>
    </row>
    <row r="330" spans="1:6" s="1" customFormat="1" ht="15" x14ac:dyDescent="0.2">
      <c r="A330" s="67"/>
      <c r="B330" s="50"/>
      <c r="C330" s="50"/>
      <c r="D330" s="50"/>
      <c r="E330" s="45"/>
      <c r="F330" s="35"/>
    </row>
    <row r="331" spans="1:6" s="1" customFormat="1" ht="15" x14ac:dyDescent="0.2">
      <c r="A331" s="394" t="s">
        <v>227</v>
      </c>
      <c r="B331" s="395"/>
      <c r="C331" s="395"/>
      <c r="D331" s="395"/>
      <c r="E331" s="395"/>
      <c r="F331" s="31">
        <f>F294+F313</f>
        <v>988.78</v>
      </c>
    </row>
    <row r="332" spans="1:6" s="1" customFormat="1" ht="15" x14ac:dyDescent="0.2">
      <c r="A332" s="19"/>
      <c r="B332" s="50"/>
      <c r="C332" s="50"/>
      <c r="D332" s="50"/>
      <c r="E332" s="50"/>
      <c r="F332" s="61"/>
    </row>
    <row r="333" spans="1:6" ht="24" customHeight="1" x14ac:dyDescent="0.2">
      <c r="A333" s="59" t="s">
        <v>235</v>
      </c>
      <c r="B333" s="387" t="s">
        <v>37</v>
      </c>
      <c r="C333" s="387"/>
      <c r="D333" s="387"/>
      <c r="E333" s="7" t="s">
        <v>13</v>
      </c>
      <c r="F333" s="60">
        <f>F347</f>
        <v>34.319999999999993</v>
      </c>
    </row>
    <row r="334" spans="1:6" s="1" customFormat="1" ht="15" x14ac:dyDescent="0.2">
      <c r="A334" s="19"/>
      <c r="B334" s="50"/>
      <c r="C334" s="50"/>
      <c r="D334" s="50"/>
      <c r="E334" s="50"/>
      <c r="F334" s="61"/>
    </row>
    <row r="335" spans="1:6" s="1" customFormat="1" ht="15" x14ac:dyDescent="0.2">
      <c r="A335" s="63" t="s">
        <v>201</v>
      </c>
      <c r="B335" s="2" t="s">
        <v>186</v>
      </c>
      <c r="C335" s="2" t="s">
        <v>187</v>
      </c>
      <c r="D335" s="2" t="s">
        <v>189</v>
      </c>
      <c r="E335" s="2" t="s">
        <v>305</v>
      </c>
      <c r="F335" s="28" t="s">
        <v>194</v>
      </c>
    </row>
    <row r="336" spans="1:6" s="1" customFormat="1" ht="15" x14ac:dyDescent="0.2">
      <c r="A336" s="380" t="s">
        <v>304</v>
      </c>
      <c r="B336" s="3" t="s">
        <v>209</v>
      </c>
      <c r="C336" s="3">
        <f>0.25+0.65+1.15</f>
        <v>2.0499999999999998</v>
      </c>
      <c r="D336" s="3">
        <v>1.5</v>
      </c>
      <c r="E336" s="5">
        <v>4</v>
      </c>
      <c r="F336" s="29">
        <f>D336*E336*C336</f>
        <v>12.299999999999999</v>
      </c>
    </row>
    <row r="337" spans="1:6" s="1" customFormat="1" ht="15" x14ac:dyDescent="0.2">
      <c r="A337" s="380"/>
      <c r="B337" s="3" t="s">
        <v>210</v>
      </c>
      <c r="C337" s="3">
        <f>C336</f>
        <v>2.0499999999999998</v>
      </c>
      <c r="D337" s="3">
        <f>D336</f>
        <v>1.5</v>
      </c>
      <c r="E337" s="5">
        <v>3</v>
      </c>
      <c r="F337" s="29">
        <f t="shared" ref="F337:F339" si="8">D337*E337</f>
        <v>4.5</v>
      </c>
    </row>
    <row r="338" spans="1:6" s="1" customFormat="1" ht="15" x14ac:dyDescent="0.2">
      <c r="A338" s="380"/>
      <c r="B338" s="3" t="s">
        <v>215</v>
      </c>
      <c r="C338" s="3">
        <f>0.08+0.75</f>
        <v>0.83</v>
      </c>
      <c r="D338" s="3">
        <v>1.5</v>
      </c>
      <c r="E338" s="5">
        <v>1</v>
      </c>
      <c r="F338" s="29">
        <f t="shared" si="8"/>
        <v>1.5</v>
      </c>
    </row>
    <row r="339" spans="1:6" s="1" customFormat="1" ht="15" x14ac:dyDescent="0.2">
      <c r="A339" s="380"/>
      <c r="B339" s="3" t="s">
        <v>216</v>
      </c>
      <c r="C339" s="3">
        <f>0.08+0.75</f>
        <v>0.83</v>
      </c>
      <c r="D339" s="3">
        <v>1.5</v>
      </c>
      <c r="E339" s="5">
        <v>1</v>
      </c>
      <c r="F339" s="29">
        <f t="shared" si="8"/>
        <v>1.5</v>
      </c>
    </row>
    <row r="340" spans="1:6" s="1" customFormat="1" ht="15" x14ac:dyDescent="0.2">
      <c r="A340" s="396" t="s">
        <v>227</v>
      </c>
      <c r="B340" s="397"/>
      <c r="C340" s="397"/>
      <c r="D340" s="397"/>
      <c r="E340" s="397"/>
      <c r="F340" s="73">
        <f>SUM(F336:F339)</f>
        <v>19.799999999999997</v>
      </c>
    </row>
    <row r="341" spans="1:6" s="1" customFormat="1" ht="15" x14ac:dyDescent="0.2">
      <c r="A341" s="19"/>
      <c r="B341" s="50"/>
      <c r="C341" s="50"/>
      <c r="D341" s="50"/>
      <c r="E341" s="50"/>
      <c r="F341" s="61"/>
    </row>
    <row r="342" spans="1:6" s="1" customFormat="1" ht="15" x14ac:dyDescent="0.2">
      <c r="A342" s="63" t="s">
        <v>219</v>
      </c>
      <c r="B342" s="2" t="s">
        <v>186</v>
      </c>
      <c r="C342" s="2" t="s">
        <v>187</v>
      </c>
      <c r="D342" s="2" t="s">
        <v>189</v>
      </c>
      <c r="E342" s="2" t="s">
        <v>305</v>
      </c>
      <c r="F342" s="28" t="s">
        <v>194</v>
      </c>
    </row>
    <row r="343" spans="1:6" s="1" customFormat="1" ht="15" x14ac:dyDescent="0.2">
      <c r="A343" s="380"/>
      <c r="B343" s="3" t="s">
        <v>209</v>
      </c>
      <c r="C343" s="3">
        <f>1.15+0.06</f>
        <v>1.21</v>
      </c>
      <c r="D343" s="3">
        <v>1.5</v>
      </c>
      <c r="E343" s="5">
        <v>4</v>
      </c>
      <c r="F343" s="29">
        <f>C343*D343*E343</f>
        <v>7.26</v>
      </c>
    </row>
    <row r="344" spans="1:6" s="1" customFormat="1" ht="15" x14ac:dyDescent="0.2">
      <c r="A344" s="380"/>
      <c r="B344" s="3" t="s">
        <v>210</v>
      </c>
      <c r="C344" s="3">
        <f>1.15+0.06</f>
        <v>1.21</v>
      </c>
      <c r="D344" s="3">
        <v>1.5</v>
      </c>
      <c r="E344" s="5">
        <v>4</v>
      </c>
      <c r="F344" s="29">
        <f>C344*D344*E344</f>
        <v>7.26</v>
      </c>
    </row>
    <row r="345" spans="1:6" s="1" customFormat="1" ht="15" x14ac:dyDescent="0.2">
      <c r="A345" s="396" t="s">
        <v>227</v>
      </c>
      <c r="B345" s="397"/>
      <c r="C345" s="397"/>
      <c r="D345" s="397"/>
      <c r="E345" s="397"/>
      <c r="F345" s="73">
        <f>SUM(F341:F344)</f>
        <v>14.52</v>
      </c>
    </row>
    <row r="346" spans="1:6" s="1" customFormat="1" ht="15" x14ac:dyDescent="0.2">
      <c r="A346" s="67"/>
      <c r="B346" s="50"/>
      <c r="C346" s="50"/>
      <c r="D346" s="50"/>
      <c r="E346" s="45"/>
      <c r="F346" s="35"/>
    </row>
    <row r="347" spans="1:6" s="1" customFormat="1" ht="15" x14ac:dyDescent="0.2">
      <c r="A347" s="394" t="s">
        <v>227</v>
      </c>
      <c r="B347" s="395"/>
      <c r="C347" s="395"/>
      <c r="D347" s="395"/>
      <c r="E347" s="395"/>
      <c r="F347" s="31">
        <f>F340+F345</f>
        <v>34.319999999999993</v>
      </c>
    </row>
    <row r="348" spans="1:6" s="1" customFormat="1" ht="15" x14ac:dyDescent="0.2">
      <c r="A348" s="19"/>
      <c r="B348" s="50"/>
      <c r="C348" s="50"/>
      <c r="D348" s="50"/>
      <c r="E348" s="50"/>
      <c r="F348" s="61"/>
    </row>
    <row r="349" spans="1:6" ht="24" customHeight="1" x14ac:dyDescent="0.2">
      <c r="A349" s="59" t="s">
        <v>236</v>
      </c>
      <c r="B349" s="387" t="s">
        <v>38</v>
      </c>
      <c r="C349" s="387"/>
      <c r="D349" s="387"/>
      <c r="E349" s="7" t="s">
        <v>13</v>
      </c>
      <c r="F349" s="60">
        <f>F352</f>
        <v>0.53</v>
      </c>
    </row>
    <row r="350" spans="1:6" s="1" customFormat="1" ht="15" x14ac:dyDescent="0.2">
      <c r="A350" s="19"/>
      <c r="B350" s="50"/>
      <c r="C350" s="50"/>
      <c r="D350" s="50"/>
      <c r="E350" s="50"/>
      <c r="F350" s="61"/>
    </row>
    <row r="351" spans="1:6" s="1" customFormat="1" ht="15" x14ac:dyDescent="0.2">
      <c r="A351" s="63" t="s">
        <v>201</v>
      </c>
      <c r="B351" s="2" t="s">
        <v>186</v>
      </c>
      <c r="C351" s="2" t="s">
        <v>187</v>
      </c>
      <c r="D351" s="2" t="s">
        <v>189</v>
      </c>
      <c r="E351" s="2" t="s">
        <v>305</v>
      </c>
      <c r="F351" s="28" t="s">
        <v>194</v>
      </c>
    </row>
    <row r="352" spans="1:6" s="1" customFormat="1" ht="15" x14ac:dyDescent="0.2">
      <c r="A352" s="66" t="s">
        <v>306</v>
      </c>
      <c r="B352" s="3" t="s">
        <v>215</v>
      </c>
      <c r="C352" s="3">
        <v>1.8</v>
      </c>
      <c r="D352" s="3">
        <v>0.53</v>
      </c>
      <c r="E352" s="5">
        <v>1</v>
      </c>
      <c r="F352" s="31">
        <f t="shared" ref="F352" si="9">D352*E352</f>
        <v>0.53</v>
      </c>
    </row>
    <row r="353" spans="1:6" s="1" customFormat="1" ht="15" x14ac:dyDescent="0.2">
      <c r="A353" s="19"/>
      <c r="B353" s="50"/>
      <c r="C353" s="50"/>
      <c r="D353" s="50"/>
      <c r="E353" s="50"/>
      <c r="F353" s="61"/>
    </row>
    <row r="354" spans="1:6" ht="24" customHeight="1" x14ac:dyDescent="0.2">
      <c r="A354" s="57" t="s">
        <v>39</v>
      </c>
      <c r="B354" s="388" t="s">
        <v>40</v>
      </c>
      <c r="C354" s="388"/>
      <c r="D354" s="388"/>
      <c r="E354" s="6"/>
      <c r="F354" s="58">
        <v>1</v>
      </c>
    </row>
    <row r="355" spans="1:6" ht="56.25" customHeight="1" x14ac:dyDescent="0.2">
      <c r="A355" s="59" t="s">
        <v>41</v>
      </c>
      <c r="B355" s="387" t="s">
        <v>307</v>
      </c>
      <c r="C355" s="387"/>
      <c r="D355" s="387"/>
      <c r="E355" s="7" t="s">
        <v>13</v>
      </c>
      <c r="F355" s="60">
        <f>F365</f>
        <v>105.376</v>
      </c>
    </row>
    <row r="356" spans="1:6" s="1" customFormat="1" ht="15" x14ac:dyDescent="0.2">
      <c r="A356" s="19"/>
      <c r="B356" s="50"/>
      <c r="C356" s="50"/>
      <c r="D356" s="50"/>
      <c r="E356" s="50"/>
      <c r="F356" s="61"/>
    </row>
    <row r="357" spans="1:6" s="1" customFormat="1" ht="15" x14ac:dyDescent="0.2">
      <c r="A357" s="63" t="s">
        <v>201</v>
      </c>
      <c r="B357" s="2" t="s">
        <v>186</v>
      </c>
      <c r="C357" s="2" t="s">
        <v>187</v>
      </c>
      <c r="D357" s="2" t="s">
        <v>189</v>
      </c>
      <c r="E357" s="2" t="s">
        <v>194</v>
      </c>
      <c r="F357" s="28" t="s">
        <v>195</v>
      </c>
    </row>
    <row r="358" spans="1:6" s="1" customFormat="1" ht="15" x14ac:dyDescent="0.2">
      <c r="A358" s="66" t="s">
        <v>200</v>
      </c>
      <c r="B358" s="3" t="s">
        <v>308</v>
      </c>
      <c r="C358" s="3">
        <f>6.83+4.45</f>
        <v>11.280000000000001</v>
      </c>
      <c r="D358" s="3">
        <v>3.2</v>
      </c>
      <c r="E358" s="5">
        <f>C358*D358</f>
        <v>36.096000000000004</v>
      </c>
      <c r="F358" s="29">
        <f>E358</f>
        <v>36.096000000000004</v>
      </c>
    </row>
    <row r="359" spans="1:6" s="1" customFormat="1" ht="15" x14ac:dyDescent="0.2">
      <c r="A359" s="19"/>
      <c r="B359" s="50"/>
      <c r="C359" s="50"/>
      <c r="D359" s="50"/>
      <c r="E359" s="50"/>
      <c r="F359" s="61"/>
    </row>
    <row r="360" spans="1:6" s="1" customFormat="1" ht="15" x14ac:dyDescent="0.2">
      <c r="A360" s="63" t="s">
        <v>219</v>
      </c>
      <c r="B360" s="2" t="s">
        <v>186</v>
      </c>
      <c r="C360" s="2" t="s">
        <v>187</v>
      </c>
      <c r="D360" s="2" t="s">
        <v>189</v>
      </c>
      <c r="E360" s="2" t="s">
        <v>194</v>
      </c>
      <c r="F360" s="28" t="s">
        <v>195</v>
      </c>
    </row>
    <row r="361" spans="1:6" s="1" customFormat="1" ht="15" x14ac:dyDescent="0.2">
      <c r="A361" s="380" t="s">
        <v>200</v>
      </c>
      <c r="B361" s="3" t="s">
        <v>309</v>
      </c>
      <c r="C361" s="3">
        <f>5.75+7.1+3.35+1.86</f>
        <v>18.059999999999999</v>
      </c>
      <c r="D361" s="3">
        <v>3.2</v>
      </c>
      <c r="E361" s="5">
        <f>C361*D361</f>
        <v>57.792000000000002</v>
      </c>
      <c r="F361" s="403">
        <f>SUM(E361:E363)</f>
        <v>69.28</v>
      </c>
    </row>
    <row r="362" spans="1:6" s="1" customFormat="1" ht="15" x14ac:dyDescent="0.2">
      <c r="A362" s="380"/>
      <c r="B362" s="3" t="s">
        <v>222</v>
      </c>
      <c r="C362" s="3">
        <f>1.83+0.97</f>
        <v>2.8</v>
      </c>
      <c r="D362" s="3">
        <v>3.2</v>
      </c>
      <c r="E362" s="5">
        <f t="shared" ref="E362:E363" si="10">C362*D362</f>
        <v>8.9599999999999991</v>
      </c>
      <c r="F362" s="403"/>
    </row>
    <row r="363" spans="1:6" s="1" customFormat="1" ht="15" x14ac:dyDescent="0.2">
      <c r="A363" s="380"/>
      <c r="B363" s="3" t="s">
        <v>223</v>
      </c>
      <c r="C363" s="3">
        <f>0.79</f>
        <v>0.79</v>
      </c>
      <c r="D363" s="3">
        <v>3.2</v>
      </c>
      <c r="E363" s="5">
        <f t="shared" si="10"/>
        <v>2.5280000000000005</v>
      </c>
      <c r="F363" s="403"/>
    </row>
    <row r="364" spans="1:6" s="1" customFormat="1" ht="15" x14ac:dyDescent="0.2">
      <c r="A364" s="67"/>
      <c r="B364" s="50"/>
      <c r="C364" s="50"/>
      <c r="D364" s="50"/>
      <c r="E364" s="45"/>
      <c r="F364" s="35"/>
    </row>
    <row r="365" spans="1:6" s="1" customFormat="1" ht="15" x14ac:dyDescent="0.2">
      <c r="A365" s="394" t="s">
        <v>227</v>
      </c>
      <c r="B365" s="395"/>
      <c r="C365" s="395"/>
      <c r="D365" s="395"/>
      <c r="E365" s="395"/>
      <c r="F365" s="31">
        <f>F358+F361</f>
        <v>105.376</v>
      </c>
    </row>
    <row r="366" spans="1:6" s="1" customFormat="1" ht="15" x14ac:dyDescent="0.2">
      <c r="A366" s="19"/>
      <c r="B366" s="50"/>
      <c r="C366" s="50"/>
      <c r="D366" s="50"/>
      <c r="E366" s="50"/>
      <c r="F366" s="61"/>
    </row>
    <row r="367" spans="1:6" ht="24" customHeight="1" x14ac:dyDescent="0.2">
      <c r="A367" s="57" t="s">
        <v>42</v>
      </c>
      <c r="B367" s="388" t="s">
        <v>43</v>
      </c>
      <c r="C367" s="388"/>
      <c r="D367" s="388"/>
      <c r="E367" s="6"/>
      <c r="F367" s="58">
        <v>1</v>
      </c>
    </row>
    <row r="368" spans="1:6" ht="24" customHeight="1" x14ac:dyDescent="0.2">
      <c r="A368" s="57" t="s">
        <v>44</v>
      </c>
      <c r="B368" s="388" t="s">
        <v>45</v>
      </c>
      <c r="C368" s="388"/>
      <c r="D368" s="388"/>
      <c r="E368" s="6"/>
      <c r="F368" s="58">
        <v>1</v>
      </c>
    </row>
    <row r="369" spans="1:6" ht="51.95" customHeight="1" x14ac:dyDescent="0.2">
      <c r="A369" s="59" t="s">
        <v>46</v>
      </c>
      <c r="B369" s="387" t="s">
        <v>47</v>
      </c>
      <c r="C369" s="387"/>
      <c r="D369" s="387"/>
      <c r="E369" s="7" t="s">
        <v>13</v>
      </c>
      <c r="F369" s="60">
        <f>F377</f>
        <v>74.87</v>
      </c>
    </row>
    <row r="370" spans="1:6" s="1" customFormat="1" ht="15" x14ac:dyDescent="0.2">
      <c r="A370" s="19"/>
      <c r="B370" s="50"/>
      <c r="C370" s="50"/>
      <c r="D370" s="50"/>
      <c r="E370" s="50"/>
      <c r="F370" s="61"/>
    </row>
    <row r="371" spans="1:6" s="1" customFormat="1" ht="15" x14ac:dyDescent="0.2">
      <c r="A371" s="63" t="s">
        <v>201</v>
      </c>
      <c r="B371" s="2" t="s">
        <v>186</v>
      </c>
      <c r="C371" s="2" t="s">
        <v>192</v>
      </c>
      <c r="D371" s="2" t="s">
        <v>189</v>
      </c>
      <c r="E371" s="2" t="s">
        <v>194</v>
      </c>
      <c r="F371" s="28" t="s">
        <v>195</v>
      </c>
    </row>
    <row r="372" spans="1:6" s="1" customFormat="1" ht="15" x14ac:dyDescent="0.2">
      <c r="A372" s="66" t="s">
        <v>200</v>
      </c>
      <c r="B372" s="3" t="s">
        <v>218</v>
      </c>
      <c r="C372" s="3">
        <f>19.23*2</f>
        <v>38.46</v>
      </c>
      <c r="D372" s="3">
        <v>1</v>
      </c>
      <c r="E372" s="5">
        <f>C372*D372</f>
        <v>38.46</v>
      </c>
      <c r="F372" s="29">
        <f>SUM(E372:E372)</f>
        <v>38.46</v>
      </c>
    </row>
    <row r="373" spans="1:6" s="1" customFormat="1" ht="15" x14ac:dyDescent="0.2">
      <c r="A373" s="19"/>
      <c r="B373" s="50"/>
      <c r="C373" s="50"/>
      <c r="D373" s="50"/>
      <c r="E373" s="50"/>
      <c r="F373" s="61"/>
    </row>
    <row r="374" spans="1:6" s="1" customFormat="1" ht="15" x14ac:dyDescent="0.2">
      <c r="A374" s="63" t="s">
        <v>219</v>
      </c>
      <c r="B374" s="2" t="s">
        <v>186</v>
      </c>
      <c r="C374" s="2" t="s">
        <v>192</v>
      </c>
      <c r="D374" s="2" t="s">
        <v>189</v>
      </c>
      <c r="E374" s="2" t="s">
        <v>194</v>
      </c>
      <c r="F374" s="28" t="s">
        <v>195</v>
      </c>
    </row>
    <row r="375" spans="1:6" s="1" customFormat="1" ht="15" x14ac:dyDescent="0.2">
      <c r="A375" s="66" t="s">
        <v>200</v>
      </c>
      <c r="B375" s="3" t="s">
        <v>218</v>
      </c>
      <c r="C375" s="3">
        <f>4.02+4.25+4.35+4.28+(4.28+4.35+4.05+6.13+0.35*2)</f>
        <v>36.409999999999997</v>
      </c>
      <c r="D375" s="3">
        <v>1</v>
      </c>
      <c r="E375" s="5">
        <f>C375*D375</f>
        <v>36.409999999999997</v>
      </c>
      <c r="F375" s="29">
        <f>SUM(E375:E375)</f>
        <v>36.409999999999997</v>
      </c>
    </row>
    <row r="376" spans="1:6" s="1" customFormat="1" ht="15" x14ac:dyDescent="0.2">
      <c r="A376" s="67"/>
      <c r="B376" s="50"/>
      <c r="C376" s="50"/>
      <c r="D376" s="50"/>
      <c r="E376" s="45"/>
      <c r="F376" s="35"/>
    </row>
    <row r="377" spans="1:6" s="1" customFormat="1" ht="15" x14ac:dyDescent="0.2">
      <c r="A377" s="394" t="s">
        <v>227</v>
      </c>
      <c r="B377" s="395"/>
      <c r="C377" s="395"/>
      <c r="D377" s="395"/>
      <c r="E377" s="395"/>
      <c r="F377" s="31">
        <f>F372+F375</f>
        <v>74.87</v>
      </c>
    </row>
    <row r="378" spans="1:6" s="1" customFormat="1" ht="15" x14ac:dyDescent="0.2">
      <c r="A378" s="19"/>
      <c r="B378" s="50"/>
      <c r="C378" s="50"/>
      <c r="D378" s="50"/>
      <c r="E378" s="50"/>
      <c r="F378" s="61"/>
    </row>
    <row r="379" spans="1:6" ht="51.95" customHeight="1" x14ac:dyDescent="0.2">
      <c r="A379" s="59" t="s">
        <v>48</v>
      </c>
      <c r="B379" s="387" t="s">
        <v>49</v>
      </c>
      <c r="C379" s="387"/>
      <c r="D379" s="387"/>
      <c r="E379" s="7" t="s">
        <v>13</v>
      </c>
      <c r="F379" s="60">
        <f>F387</f>
        <v>74.87</v>
      </c>
    </row>
    <row r="380" spans="1:6" s="1" customFormat="1" ht="15" x14ac:dyDescent="0.2">
      <c r="A380" s="19"/>
      <c r="B380" s="50"/>
      <c r="C380" s="50"/>
      <c r="D380" s="50"/>
      <c r="E380" s="50"/>
      <c r="F380" s="61"/>
    </row>
    <row r="381" spans="1:6" s="1" customFormat="1" ht="15" x14ac:dyDescent="0.2">
      <c r="A381" s="63" t="s">
        <v>201</v>
      </c>
      <c r="B381" s="2" t="s">
        <v>186</v>
      </c>
      <c r="C381" s="2" t="s">
        <v>192</v>
      </c>
      <c r="D381" s="2" t="s">
        <v>189</v>
      </c>
      <c r="E381" s="2" t="s">
        <v>194</v>
      </c>
      <c r="F381" s="28" t="s">
        <v>195</v>
      </c>
    </row>
    <row r="382" spans="1:6" s="1" customFormat="1" ht="15" x14ac:dyDescent="0.2">
      <c r="A382" s="66" t="s">
        <v>200</v>
      </c>
      <c r="B382" s="3" t="s">
        <v>218</v>
      </c>
      <c r="C382" s="3">
        <f>19.23*2</f>
        <v>38.46</v>
      </c>
      <c r="D382" s="3">
        <v>1</v>
      </c>
      <c r="E382" s="5">
        <f>C382*D382</f>
        <v>38.46</v>
      </c>
      <c r="F382" s="29">
        <f>SUM(E382:E382)</f>
        <v>38.46</v>
      </c>
    </row>
    <row r="383" spans="1:6" s="1" customFormat="1" ht="15" x14ac:dyDescent="0.2">
      <c r="A383" s="19"/>
      <c r="B383" s="50"/>
      <c r="C383" s="50"/>
      <c r="D383" s="50"/>
      <c r="E383" s="50"/>
      <c r="F383" s="61"/>
    </row>
    <row r="384" spans="1:6" s="1" customFormat="1" ht="15" x14ac:dyDescent="0.2">
      <c r="A384" s="63" t="s">
        <v>219</v>
      </c>
      <c r="B384" s="2" t="s">
        <v>186</v>
      </c>
      <c r="C384" s="2" t="s">
        <v>192</v>
      </c>
      <c r="D384" s="2" t="s">
        <v>189</v>
      </c>
      <c r="E384" s="2" t="s">
        <v>194</v>
      </c>
      <c r="F384" s="28" t="s">
        <v>195</v>
      </c>
    </row>
    <row r="385" spans="1:6" s="1" customFormat="1" ht="15" x14ac:dyDescent="0.2">
      <c r="A385" s="66" t="s">
        <v>200</v>
      </c>
      <c r="B385" s="3" t="s">
        <v>218</v>
      </c>
      <c r="C385" s="3">
        <f>4.02+4.25+4.35+4.28+(4.28+4.35+4.05+6.13+0.35*2)</f>
        <v>36.409999999999997</v>
      </c>
      <c r="D385" s="3">
        <v>1</v>
      </c>
      <c r="E385" s="5">
        <f>C385*D385</f>
        <v>36.409999999999997</v>
      </c>
      <c r="F385" s="29">
        <f>SUM(E385:E385)</f>
        <v>36.409999999999997</v>
      </c>
    </row>
    <row r="386" spans="1:6" s="1" customFormat="1" ht="15" x14ac:dyDescent="0.2">
      <c r="A386" s="67"/>
      <c r="B386" s="50"/>
      <c r="C386" s="50"/>
      <c r="D386" s="50"/>
      <c r="E386" s="45"/>
      <c r="F386" s="35"/>
    </row>
    <row r="387" spans="1:6" s="1" customFormat="1" ht="15" x14ac:dyDescent="0.2">
      <c r="A387" s="394" t="s">
        <v>227</v>
      </c>
      <c r="B387" s="395"/>
      <c r="C387" s="395"/>
      <c r="D387" s="395"/>
      <c r="E387" s="395"/>
      <c r="F387" s="31">
        <f>F382+F385</f>
        <v>74.87</v>
      </c>
    </row>
    <row r="388" spans="1:6" s="1" customFormat="1" ht="15" x14ac:dyDescent="0.2">
      <c r="A388" s="19"/>
      <c r="B388" s="50"/>
      <c r="C388" s="50"/>
      <c r="D388" s="50"/>
      <c r="E388" s="50"/>
      <c r="F388" s="61"/>
    </row>
    <row r="389" spans="1:6" ht="26.1" customHeight="1" x14ac:dyDescent="0.2">
      <c r="A389" s="59" t="s">
        <v>50</v>
      </c>
      <c r="B389" s="387" t="s">
        <v>51</v>
      </c>
      <c r="C389" s="387"/>
      <c r="D389" s="387"/>
      <c r="E389" s="7" t="s">
        <v>13</v>
      </c>
      <c r="F389" s="60">
        <f>F414</f>
        <v>400.25</v>
      </c>
    </row>
    <row r="390" spans="1:6" s="1" customFormat="1" ht="15" x14ac:dyDescent="0.2">
      <c r="A390" s="19"/>
      <c r="B390" s="50"/>
      <c r="C390" s="50"/>
      <c r="D390" s="50"/>
      <c r="E390" s="50"/>
      <c r="F390" s="61"/>
    </row>
    <row r="391" spans="1:6" s="1" customFormat="1" ht="15" x14ac:dyDescent="0.2">
      <c r="A391" s="63" t="s">
        <v>201</v>
      </c>
      <c r="B391" s="2" t="s">
        <v>186</v>
      </c>
      <c r="C391" s="2" t="s">
        <v>192</v>
      </c>
      <c r="D391" s="2" t="s">
        <v>189</v>
      </c>
      <c r="E391" s="2" t="s">
        <v>310</v>
      </c>
      <c r="F391" s="28" t="s">
        <v>195</v>
      </c>
    </row>
    <row r="392" spans="1:6" s="1" customFormat="1" ht="15" x14ac:dyDescent="0.2">
      <c r="A392" s="381" t="s">
        <v>200</v>
      </c>
      <c r="B392" s="3" t="s">
        <v>202</v>
      </c>
      <c r="C392" s="3">
        <f>5.1*2+7.93*2</f>
        <v>26.06</v>
      </c>
      <c r="D392" s="3">
        <f>1</f>
        <v>1</v>
      </c>
      <c r="E392" s="5">
        <f t="shared" ref="E392:E394" si="11">0.9*2.1</f>
        <v>1.8900000000000001</v>
      </c>
      <c r="F392" s="29">
        <f>C392*D392-E392</f>
        <v>24.169999999999998</v>
      </c>
    </row>
    <row r="393" spans="1:6" s="1" customFormat="1" ht="15" x14ac:dyDescent="0.2">
      <c r="A393" s="382"/>
      <c r="B393" s="3" t="s">
        <v>203</v>
      </c>
      <c r="C393" s="3">
        <f t="shared" ref="C393:C394" si="12">5*2+7.93*2</f>
        <v>25.86</v>
      </c>
      <c r="D393" s="3">
        <f>1</f>
        <v>1</v>
      </c>
      <c r="E393" s="5">
        <f t="shared" si="11"/>
        <v>1.8900000000000001</v>
      </c>
      <c r="F393" s="29">
        <f t="shared" ref="F393:F399" si="13">C393*D393-E393</f>
        <v>23.97</v>
      </c>
    </row>
    <row r="394" spans="1:6" s="1" customFormat="1" ht="15" x14ac:dyDescent="0.2">
      <c r="A394" s="382"/>
      <c r="B394" s="3" t="s">
        <v>204</v>
      </c>
      <c r="C394" s="3">
        <f t="shared" si="12"/>
        <v>25.86</v>
      </c>
      <c r="D394" s="3">
        <f>1</f>
        <v>1</v>
      </c>
      <c r="E394" s="5">
        <f t="shared" si="11"/>
        <v>1.8900000000000001</v>
      </c>
      <c r="F394" s="29">
        <f t="shared" si="13"/>
        <v>23.97</v>
      </c>
    </row>
    <row r="395" spans="1:6" s="1" customFormat="1" ht="15" x14ac:dyDescent="0.2">
      <c r="A395" s="382"/>
      <c r="B395" s="3" t="s">
        <v>205</v>
      </c>
      <c r="C395" s="3">
        <f>5*2+7.93*2</f>
        <v>25.86</v>
      </c>
      <c r="D395" s="3">
        <f>1</f>
        <v>1</v>
      </c>
      <c r="E395" s="5">
        <f>0.9*2.1</f>
        <v>1.8900000000000001</v>
      </c>
      <c r="F395" s="29">
        <f t="shared" si="13"/>
        <v>23.97</v>
      </c>
    </row>
    <row r="396" spans="1:6" s="1" customFormat="1" ht="15" x14ac:dyDescent="0.2">
      <c r="A396" s="382"/>
      <c r="B396" s="3" t="s">
        <v>206</v>
      </c>
      <c r="C396" s="3">
        <f>5*2+7.93*2</f>
        <v>25.86</v>
      </c>
      <c r="D396" s="3">
        <f>1</f>
        <v>1</v>
      </c>
      <c r="E396" s="5">
        <f>0.9*2.1</f>
        <v>1.8900000000000001</v>
      </c>
      <c r="F396" s="29">
        <f t="shared" si="13"/>
        <v>23.97</v>
      </c>
    </row>
    <row r="397" spans="1:6" s="1" customFormat="1" ht="15" x14ac:dyDescent="0.2">
      <c r="A397" s="382"/>
      <c r="B397" s="3" t="s">
        <v>207</v>
      </c>
      <c r="C397" s="3">
        <f>4.9*2+7.93*2</f>
        <v>25.66</v>
      </c>
      <c r="D397" s="3">
        <f>1</f>
        <v>1</v>
      </c>
      <c r="E397" s="5">
        <f>0.9*2.1</f>
        <v>1.8900000000000001</v>
      </c>
      <c r="F397" s="29">
        <f t="shared" si="13"/>
        <v>23.77</v>
      </c>
    </row>
    <row r="398" spans="1:6" s="1" customFormat="1" ht="15" x14ac:dyDescent="0.2">
      <c r="A398" s="382"/>
      <c r="B398" s="3" t="s">
        <v>308</v>
      </c>
      <c r="C398" s="3">
        <f>6.63*2+4.35*2</f>
        <v>21.96</v>
      </c>
      <c r="D398" s="3">
        <v>1</v>
      </c>
      <c r="E398" s="5">
        <f t="shared" ref="E398:E399" si="14">0.9*2.1</f>
        <v>1.8900000000000001</v>
      </c>
      <c r="F398" s="29">
        <f t="shared" si="13"/>
        <v>20.07</v>
      </c>
    </row>
    <row r="399" spans="1:6" s="1" customFormat="1" ht="15" x14ac:dyDescent="0.2">
      <c r="A399" s="383"/>
      <c r="B399" s="3" t="s">
        <v>319</v>
      </c>
      <c r="C399" s="3">
        <f>6.63*2+4.35*2</f>
        <v>21.96</v>
      </c>
      <c r="D399" s="3">
        <v>1</v>
      </c>
      <c r="E399" s="5">
        <f t="shared" si="14"/>
        <v>1.8900000000000001</v>
      </c>
      <c r="F399" s="29">
        <f t="shared" si="13"/>
        <v>20.07</v>
      </c>
    </row>
    <row r="400" spans="1:6" s="1" customFormat="1" ht="15" x14ac:dyDescent="0.2">
      <c r="A400" s="398" t="s">
        <v>227</v>
      </c>
      <c r="B400" s="399"/>
      <c r="C400" s="399"/>
      <c r="D400" s="399"/>
      <c r="E400" s="399"/>
      <c r="F400" s="29">
        <f>SUM(F392:F399)</f>
        <v>183.95999999999998</v>
      </c>
    </row>
    <row r="401" spans="1:6" s="1" customFormat="1" ht="15" x14ac:dyDescent="0.2">
      <c r="A401" s="19"/>
      <c r="B401" s="50"/>
      <c r="C401" s="50"/>
      <c r="D401" s="50"/>
      <c r="E401" s="50"/>
      <c r="F401" s="61"/>
    </row>
    <row r="402" spans="1:6" s="1" customFormat="1" ht="15" x14ac:dyDescent="0.2">
      <c r="A402" s="63" t="s">
        <v>219</v>
      </c>
      <c r="B402" s="2" t="s">
        <v>186</v>
      </c>
      <c r="C402" s="2" t="s">
        <v>192</v>
      </c>
      <c r="D402" s="2" t="s">
        <v>189</v>
      </c>
      <c r="E402" s="2" t="s">
        <v>310</v>
      </c>
      <c r="F402" s="28" t="s">
        <v>195</v>
      </c>
    </row>
    <row r="403" spans="1:6" s="1" customFormat="1" ht="15" x14ac:dyDescent="0.2">
      <c r="A403" s="380" t="s">
        <v>200</v>
      </c>
      <c r="B403" s="3" t="s">
        <v>202</v>
      </c>
      <c r="C403" s="3">
        <f>4.9*2+8*2</f>
        <v>25.8</v>
      </c>
      <c r="D403" s="3">
        <v>1</v>
      </c>
      <c r="E403" s="5">
        <f>0.9*2.1</f>
        <v>1.8900000000000001</v>
      </c>
      <c r="F403" s="29">
        <f>C403*D403-E403</f>
        <v>23.91</v>
      </c>
    </row>
    <row r="404" spans="1:6" s="1" customFormat="1" ht="15" x14ac:dyDescent="0.2">
      <c r="A404" s="380"/>
      <c r="B404" s="3" t="s">
        <v>203</v>
      </c>
      <c r="C404" s="3">
        <f>4.9*2+8*2</f>
        <v>25.8</v>
      </c>
      <c r="D404" s="3">
        <v>1</v>
      </c>
      <c r="E404" s="5">
        <f>0.9*2.1</f>
        <v>1.8900000000000001</v>
      </c>
      <c r="F404" s="29">
        <f t="shared" ref="F404:F411" si="15">C404*D404-E404</f>
        <v>23.91</v>
      </c>
    </row>
    <row r="405" spans="1:6" s="1" customFormat="1" ht="15" x14ac:dyDescent="0.2">
      <c r="A405" s="380"/>
      <c r="B405" s="3" t="s">
        <v>204</v>
      </c>
      <c r="C405" s="3">
        <f>5*2+8*2</f>
        <v>26</v>
      </c>
      <c r="D405" s="3">
        <v>1</v>
      </c>
      <c r="E405" s="5">
        <f t="shared" ref="E405:E411" si="16">0.9*2.1</f>
        <v>1.8900000000000001</v>
      </c>
      <c r="F405" s="29">
        <f t="shared" si="15"/>
        <v>24.11</v>
      </c>
    </row>
    <row r="406" spans="1:6" s="1" customFormat="1" ht="15" x14ac:dyDescent="0.2">
      <c r="A406" s="380"/>
      <c r="B406" s="3" t="s">
        <v>205</v>
      </c>
      <c r="C406" s="3">
        <f>5*2+8*2</f>
        <v>26</v>
      </c>
      <c r="D406" s="3">
        <v>1</v>
      </c>
      <c r="E406" s="5">
        <f t="shared" si="16"/>
        <v>1.8900000000000001</v>
      </c>
      <c r="F406" s="29">
        <f t="shared" si="15"/>
        <v>24.11</v>
      </c>
    </row>
    <row r="407" spans="1:6" s="1" customFormat="1" ht="15" x14ac:dyDescent="0.2">
      <c r="A407" s="380"/>
      <c r="B407" s="3" t="s">
        <v>206</v>
      </c>
      <c r="C407" s="3">
        <f>5.1*2+8*2</f>
        <v>26.2</v>
      </c>
      <c r="D407" s="3">
        <v>1</v>
      </c>
      <c r="E407" s="5">
        <f t="shared" si="16"/>
        <v>1.8900000000000001</v>
      </c>
      <c r="F407" s="29">
        <f t="shared" si="15"/>
        <v>24.31</v>
      </c>
    </row>
    <row r="408" spans="1:6" s="1" customFormat="1" ht="15" x14ac:dyDescent="0.2">
      <c r="A408" s="380"/>
      <c r="B408" s="3" t="s">
        <v>207</v>
      </c>
      <c r="C408" s="3">
        <f>5.1*2+8*2</f>
        <v>26.2</v>
      </c>
      <c r="D408" s="3">
        <v>1</v>
      </c>
      <c r="E408" s="5">
        <f t="shared" si="16"/>
        <v>1.8900000000000001</v>
      </c>
      <c r="F408" s="29">
        <f t="shared" si="15"/>
        <v>24.31</v>
      </c>
    </row>
    <row r="409" spans="1:6" s="1" customFormat="1" ht="15" x14ac:dyDescent="0.2">
      <c r="A409" s="380"/>
      <c r="B409" s="3" t="s">
        <v>308</v>
      </c>
      <c r="C409" s="3">
        <f>5*2+8*2</f>
        <v>26</v>
      </c>
      <c r="D409" s="3">
        <v>1</v>
      </c>
      <c r="E409" s="5">
        <f t="shared" si="16"/>
        <v>1.8900000000000001</v>
      </c>
      <c r="F409" s="29">
        <f t="shared" si="15"/>
        <v>24.11</v>
      </c>
    </row>
    <row r="410" spans="1:6" s="1" customFormat="1" ht="15" x14ac:dyDescent="0.2">
      <c r="A410" s="380"/>
      <c r="B410" s="3" t="s">
        <v>309</v>
      </c>
      <c r="C410" s="3">
        <f>7*2+5.75*2</f>
        <v>25.5</v>
      </c>
      <c r="D410" s="3">
        <v>1</v>
      </c>
      <c r="E410" s="5">
        <f t="shared" si="16"/>
        <v>1.8900000000000001</v>
      </c>
      <c r="F410" s="29">
        <f t="shared" si="15"/>
        <v>23.61</v>
      </c>
    </row>
    <row r="411" spans="1:6" s="1" customFormat="1" ht="25.5" x14ac:dyDescent="0.2">
      <c r="A411" s="380"/>
      <c r="B411" s="3" t="s">
        <v>220</v>
      </c>
      <c r="C411" s="3">
        <f>4.9*2+8*2</f>
        <v>25.8</v>
      </c>
      <c r="D411" s="3">
        <v>1</v>
      </c>
      <c r="E411" s="5">
        <f t="shared" si="16"/>
        <v>1.8900000000000001</v>
      </c>
      <c r="F411" s="29">
        <f t="shared" si="15"/>
        <v>23.91</v>
      </c>
    </row>
    <row r="412" spans="1:6" s="1" customFormat="1" ht="15" x14ac:dyDescent="0.2">
      <c r="A412" s="398" t="s">
        <v>227</v>
      </c>
      <c r="B412" s="399"/>
      <c r="C412" s="399"/>
      <c r="D412" s="399"/>
      <c r="E412" s="399"/>
      <c r="F412" s="29">
        <f>SUM(F403:F411)</f>
        <v>216.29</v>
      </c>
    </row>
    <row r="413" spans="1:6" s="1" customFormat="1" ht="15" x14ac:dyDescent="0.2">
      <c r="A413" s="67"/>
      <c r="B413" s="50"/>
      <c r="C413" s="50"/>
      <c r="D413" s="50"/>
      <c r="E413" s="45"/>
      <c r="F413" s="35"/>
    </row>
    <row r="414" spans="1:6" s="1" customFormat="1" ht="15" x14ac:dyDescent="0.2">
      <c r="A414" s="394" t="s">
        <v>227</v>
      </c>
      <c r="B414" s="395"/>
      <c r="C414" s="395"/>
      <c r="D414" s="395"/>
      <c r="E414" s="395"/>
      <c r="F414" s="31">
        <f>F400+F412</f>
        <v>400.25</v>
      </c>
    </row>
    <row r="415" spans="1:6" s="1" customFormat="1" ht="15" x14ac:dyDescent="0.2">
      <c r="A415" s="19"/>
      <c r="B415" s="50"/>
      <c r="C415" s="50"/>
      <c r="D415" s="50"/>
      <c r="E415" s="50"/>
      <c r="F415" s="61"/>
    </row>
    <row r="416" spans="1:6" ht="39" customHeight="1" x14ac:dyDescent="0.2">
      <c r="A416" s="59" t="s">
        <v>315</v>
      </c>
      <c r="B416" s="387" t="s">
        <v>52</v>
      </c>
      <c r="C416" s="387"/>
      <c r="D416" s="387"/>
      <c r="E416" s="7" t="s">
        <v>13</v>
      </c>
      <c r="F416" s="60">
        <f>F435</f>
        <v>328.79500000000002</v>
      </c>
    </row>
    <row r="417" spans="1:6" s="1" customFormat="1" ht="15" x14ac:dyDescent="0.2">
      <c r="A417" s="19"/>
      <c r="B417" s="50"/>
      <c r="C417" s="50"/>
      <c r="D417" s="50"/>
      <c r="E417" s="50"/>
      <c r="F417" s="61"/>
    </row>
    <row r="418" spans="1:6" s="1" customFormat="1" ht="15" x14ac:dyDescent="0.2">
      <c r="A418" s="63" t="s">
        <v>201</v>
      </c>
      <c r="B418" s="2" t="s">
        <v>186</v>
      </c>
      <c r="C418" s="2" t="s">
        <v>192</v>
      </c>
      <c r="D418" s="2" t="s">
        <v>189</v>
      </c>
      <c r="E418" s="2" t="s">
        <v>310</v>
      </c>
      <c r="F418" s="28" t="s">
        <v>195</v>
      </c>
    </row>
    <row r="419" spans="1:6" s="1" customFormat="1" ht="15" x14ac:dyDescent="0.2">
      <c r="A419" s="381" t="s">
        <v>200</v>
      </c>
      <c r="B419" s="3" t="s">
        <v>212</v>
      </c>
      <c r="C419" s="3">
        <v>4.9000000000000004</v>
      </c>
      <c r="D419" s="3">
        <v>3</v>
      </c>
      <c r="E419" s="5">
        <f>0.6*2.1+0.9*0.9</f>
        <v>2.0700000000000003</v>
      </c>
      <c r="F419" s="29">
        <f>C419*D419-E419</f>
        <v>12.63</v>
      </c>
    </row>
    <row r="420" spans="1:6" s="1" customFormat="1" ht="15" x14ac:dyDescent="0.2">
      <c r="A420" s="382"/>
      <c r="B420" s="3" t="s">
        <v>212</v>
      </c>
      <c r="C420" s="3">
        <v>4.9000000000000004</v>
      </c>
      <c r="D420" s="3">
        <v>3</v>
      </c>
      <c r="E420" s="5">
        <f>0.6*2.1+0.9*0.9</f>
        <v>2.0700000000000003</v>
      </c>
      <c r="F420" s="29">
        <f t="shared" ref="F420:F424" si="17">C420*D420-E420</f>
        <v>12.63</v>
      </c>
    </row>
    <row r="421" spans="1:6" s="1" customFormat="1" ht="15" x14ac:dyDescent="0.2">
      <c r="A421" s="382"/>
      <c r="B421" s="3" t="s">
        <v>215</v>
      </c>
      <c r="C421" s="3">
        <v>8.65</v>
      </c>
      <c r="D421" s="3">
        <v>3</v>
      </c>
      <c r="E421" s="5">
        <f>0.6*2.1+0.9*0.9</f>
        <v>2.0700000000000003</v>
      </c>
      <c r="F421" s="29">
        <f t="shared" si="17"/>
        <v>23.880000000000003</v>
      </c>
    </row>
    <row r="422" spans="1:6" s="1" customFormat="1" ht="15" x14ac:dyDescent="0.2">
      <c r="A422" s="382"/>
      <c r="B422" s="3" t="s">
        <v>216</v>
      </c>
      <c r="C422" s="3">
        <v>8.65</v>
      </c>
      <c r="D422" s="3">
        <v>3</v>
      </c>
      <c r="E422" s="5">
        <f>0.6*2.1+0.9*0.9</f>
        <v>2.0700000000000003</v>
      </c>
      <c r="F422" s="29">
        <f t="shared" si="17"/>
        <v>23.880000000000003</v>
      </c>
    </row>
    <row r="423" spans="1:6" s="1" customFormat="1" ht="15" x14ac:dyDescent="0.2">
      <c r="A423" s="382"/>
      <c r="B423" s="3" t="s">
        <v>209</v>
      </c>
      <c r="C423" s="3">
        <v>13.9</v>
      </c>
      <c r="D423" s="3">
        <v>3</v>
      </c>
      <c r="E423" s="5">
        <f>0.7*2.1+1.8*0.9</f>
        <v>3.09</v>
      </c>
      <c r="F423" s="29">
        <f t="shared" si="17"/>
        <v>38.61</v>
      </c>
    </row>
    <row r="424" spans="1:6" s="1" customFormat="1" ht="15" x14ac:dyDescent="0.2">
      <c r="A424" s="382"/>
      <c r="B424" s="3" t="s">
        <v>210</v>
      </c>
      <c r="C424" s="3">
        <f>15.9</f>
        <v>15.9</v>
      </c>
      <c r="D424" s="3">
        <v>3</v>
      </c>
      <c r="E424" s="5">
        <f>0.7*2.1+1.8*0.9</f>
        <v>3.09</v>
      </c>
      <c r="F424" s="29">
        <f t="shared" si="17"/>
        <v>44.61</v>
      </c>
    </row>
    <row r="425" spans="1:6" s="1" customFormat="1" ht="15" x14ac:dyDescent="0.2">
      <c r="A425" s="398" t="s">
        <v>227</v>
      </c>
      <c r="B425" s="399"/>
      <c r="C425" s="399"/>
      <c r="D425" s="399"/>
      <c r="E425" s="399"/>
      <c r="F425" s="29">
        <f>SUM(F419:F424)</f>
        <v>156.24</v>
      </c>
    </row>
    <row r="426" spans="1:6" s="1" customFormat="1" ht="15" x14ac:dyDescent="0.2">
      <c r="A426" s="19"/>
      <c r="B426" s="50"/>
      <c r="C426" s="50"/>
      <c r="D426" s="50"/>
      <c r="E426" s="50"/>
      <c r="F426" s="61"/>
    </row>
    <row r="427" spans="1:6" s="1" customFormat="1" ht="15" x14ac:dyDescent="0.2">
      <c r="A427" s="63" t="s">
        <v>219</v>
      </c>
      <c r="B427" s="2" t="s">
        <v>186</v>
      </c>
      <c r="C427" s="2" t="s">
        <v>192</v>
      </c>
      <c r="D427" s="2" t="s">
        <v>189</v>
      </c>
      <c r="E427" s="2" t="s">
        <v>310</v>
      </c>
      <c r="F427" s="28" t="s">
        <v>195</v>
      </c>
    </row>
    <row r="428" spans="1:6" s="1" customFormat="1" ht="15" x14ac:dyDescent="0.2">
      <c r="A428" s="380" t="s">
        <v>200</v>
      </c>
      <c r="B428" s="3" t="s">
        <v>215</v>
      </c>
      <c r="C428" s="3">
        <v>7.29</v>
      </c>
      <c r="D428" s="3">
        <v>3</v>
      </c>
      <c r="E428" s="5">
        <f>0.91*0.5+0.6*2.1</f>
        <v>1.7150000000000001</v>
      </c>
      <c r="F428" s="29">
        <f>C428*D428-E428</f>
        <v>20.155000000000001</v>
      </c>
    </row>
    <row r="429" spans="1:6" s="1" customFormat="1" ht="15" x14ac:dyDescent="0.2">
      <c r="A429" s="380"/>
      <c r="B429" s="3" t="s">
        <v>226</v>
      </c>
      <c r="C429" s="3">
        <f>1.48*2+1.55*2</f>
        <v>6.0600000000000005</v>
      </c>
      <c r="D429" s="3">
        <v>3</v>
      </c>
      <c r="E429" s="5">
        <f>1*2.1</f>
        <v>2.1</v>
      </c>
      <c r="F429" s="29">
        <f t="shared" ref="F429:F432" si="18">C429*D429-E429</f>
        <v>16.079999999999998</v>
      </c>
    </row>
    <row r="430" spans="1:6" s="1" customFormat="1" ht="15" x14ac:dyDescent="0.2">
      <c r="A430" s="380"/>
      <c r="B430" s="3" t="s">
        <v>226</v>
      </c>
      <c r="C430" s="3">
        <f>1.48*2+1.55*2</f>
        <v>6.0600000000000005</v>
      </c>
      <c r="D430" s="3">
        <v>3</v>
      </c>
      <c r="E430" s="5">
        <f>1*2.1</f>
        <v>2.1</v>
      </c>
      <c r="F430" s="29">
        <f t="shared" si="18"/>
        <v>16.079999999999998</v>
      </c>
    </row>
    <row r="431" spans="1:6" s="1" customFormat="1" ht="15" x14ac:dyDescent="0.2">
      <c r="A431" s="380"/>
      <c r="B431" s="3" t="s">
        <v>209</v>
      </c>
      <c r="C431" s="3">
        <f>0.9+8+2.38+6.15+1.63+2.15</f>
        <v>21.209999999999997</v>
      </c>
      <c r="D431" s="3">
        <v>3</v>
      </c>
      <c r="E431" s="5">
        <f>0.9*2.1+1.8*0.9</f>
        <v>3.5100000000000002</v>
      </c>
      <c r="F431" s="29">
        <f t="shared" si="18"/>
        <v>60.12</v>
      </c>
    </row>
    <row r="432" spans="1:6" s="1" customFormat="1" ht="15" x14ac:dyDescent="0.2">
      <c r="A432" s="380"/>
      <c r="B432" s="3" t="s">
        <v>210</v>
      </c>
      <c r="C432" s="3">
        <f>C431</f>
        <v>21.209999999999997</v>
      </c>
      <c r="D432" s="3">
        <v>3</v>
      </c>
      <c r="E432" s="5">
        <f>0.9*2.1+1.8*0.9</f>
        <v>3.5100000000000002</v>
      </c>
      <c r="F432" s="29">
        <f t="shared" si="18"/>
        <v>60.12</v>
      </c>
    </row>
    <row r="433" spans="1:6" s="1" customFormat="1" ht="15" x14ac:dyDescent="0.2">
      <c r="A433" s="398" t="s">
        <v>227</v>
      </c>
      <c r="B433" s="399"/>
      <c r="C433" s="399"/>
      <c r="D433" s="399"/>
      <c r="E433" s="399"/>
      <c r="F433" s="29">
        <f>SUM(F428:F432)</f>
        <v>172.55500000000001</v>
      </c>
    </row>
    <row r="434" spans="1:6" s="1" customFormat="1" ht="15" x14ac:dyDescent="0.2">
      <c r="A434" s="67"/>
      <c r="B434" s="50"/>
      <c r="C434" s="50"/>
      <c r="D434" s="50"/>
      <c r="E434" s="45"/>
      <c r="F434" s="35"/>
    </row>
    <row r="435" spans="1:6" s="1" customFormat="1" ht="15" x14ac:dyDescent="0.2">
      <c r="A435" s="394" t="s">
        <v>227</v>
      </c>
      <c r="B435" s="395"/>
      <c r="C435" s="395"/>
      <c r="D435" s="395"/>
      <c r="E435" s="395"/>
      <c r="F435" s="31">
        <f>F425+F433</f>
        <v>328.79500000000002</v>
      </c>
    </row>
    <row r="436" spans="1:6" s="1" customFormat="1" ht="15" x14ac:dyDescent="0.2">
      <c r="A436" s="19"/>
      <c r="B436" s="50"/>
      <c r="C436" s="50"/>
      <c r="D436" s="50"/>
      <c r="E436" s="50"/>
      <c r="F436" s="61"/>
    </row>
    <row r="437" spans="1:6" ht="24" customHeight="1" x14ac:dyDescent="0.2">
      <c r="A437" s="59" t="s">
        <v>316</v>
      </c>
      <c r="B437" s="387" t="s">
        <v>53</v>
      </c>
      <c r="C437" s="387"/>
      <c r="D437" s="387"/>
      <c r="E437" s="7" t="s">
        <v>10</v>
      </c>
      <c r="F437" s="60">
        <f>C461</f>
        <v>410.41999999999996</v>
      </c>
    </row>
    <row r="438" spans="1:6" s="1" customFormat="1" ht="15" x14ac:dyDescent="0.2">
      <c r="A438" s="19"/>
      <c r="B438" s="50"/>
      <c r="C438" s="50"/>
      <c r="D438" s="50"/>
      <c r="E438" s="50"/>
      <c r="F438" s="61"/>
    </row>
    <row r="439" spans="1:6" s="1" customFormat="1" ht="15" x14ac:dyDescent="0.2">
      <c r="A439" s="63" t="s">
        <v>201</v>
      </c>
      <c r="B439" s="2" t="s">
        <v>186</v>
      </c>
      <c r="C439" s="2" t="s">
        <v>192</v>
      </c>
      <c r="D439" s="43"/>
      <c r="E439" s="43"/>
      <c r="F439" s="33"/>
    </row>
    <row r="440" spans="1:6" s="1" customFormat="1" ht="15" x14ac:dyDescent="0.2">
      <c r="A440" s="380" t="s">
        <v>200</v>
      </c>
      <c r="B440" s="3" t="s">
        <v>202</v>
      </c>
      <c r="C440" s="3">
        <f>5.1*2+7.93*2</f>
        <v>26.06</v>
      </c>
      <c r="D440" s="50"/>
      <c r="E440" s="45"/>
      <c r="F440" s="34"/>
    </row>
    <row r="441" spans="1:6" s="1" customFormat="1" ht="15" x14ac:dyDescent="0.2">
      <c r="A441" s="380"/>
      <c r="B441" s="3" t="s">
        <v>203</v>
      </c>
      <c r="C441" s="3">
        <f t="shared" ref="C441:C442" si="19">5*2+7.93*2</f>
        <v>25.86</v>
      </c>
      <c r="D441" s="50"/>
      <c r="E441" s="45"/>
      <c r="F441" s="34"/>
    </row>
    <row r="442" spans="1:6" s="1" customFormat="1" ht="15" x14ac:dyDescent="0.2">
      <c r="A442" s="380"/>
      <c r="B442" s="3" t="s">
        <v>204</v>
      </c>
      <c r="C442" s="3">
        <f t="shared" si="19"/>
        <v>25.86</v>
      </c>
      <c r="D442" s="50"/>
      <c r="E442" s="45"/>
      <c r="F442" s="34"/>
    </row>
    <row r="443" spans="1:6" s="1" customFormat="1" ht="15" x14ac:dyDescent="0.2">
      <c r="A443" s="380"/>
      <c r="B443" s="3" t="s">
        <v>205</v>
      </c>
      <c r="C443" s="3">
        <f>5*2+7.93*2</f>
        <v>25.86</v>
      </c>
      <c r="D443" s="50"/>
      <c r="E443" s="45"/>
      <c r="F443" s="34"/>
    </row>
    <row r="444" spans="1:6" s="1" customFormat="1" ht="15" x14ac:dyDescent="0.2">
      <c r="A444" s="380"/>
      <c r="B444" s="3" t="s">
        <v>206</v>
      </c>
      <c r="C444" s="3">
        <f>5*2+7.93*2</f>
        <v>25.86</v>
      </c>
      <c r="D444" s="50"/>
      <c r="E444" s="45"/>
      <c r="F444" s="34"/>
    </row>
    <row r="445" spans="1:6" s="1" customFormat="1" ht="15" x14ac:dyDescent="0.2">
      <c r="A445" s="380"/>
      <c r="B445" s="3" t="s">
        <v>207</v>
      </c>
      <c r="C445" s="3">
        <f>4.9*2+7.93*2</f>
        <v>25.66</v>
      </c>
      <c r="D445" s="50"/>
      <c r="E445" s="45"/>
      <c r="F445" s="34"/>
    </row>
    <row r="446" spans="1:6" s="1" customFormat="1" ht="15" x14ac:dyDescent="0.2">
      <c r="A446" s="380"/>
      <c r="B446" s="3" t="s">
        <v>308</v>
      </c>
      <c r="C446" s="3">
        <f>6.63*2+4.35*2</f>
        <v>21.96</v>
      </c>
      <c r="D446" s="50"/>
      <c r="E446" s="45"/>
      <c r="F446" s="34"/>
    </row>
    <row r="447" spans="1:6" s="1" customFormat="1" ht="15" x14ac:dyDescent="0.2">
      <c r="A447" s="380" t="s">
        <v>227</v>
      </c>
      <c r="B447" s="438"/>
      <c r="C447" s="14">
        <f>SUM(C440:C446)</f>
        <v>177.12</v>
      </c>
      <c r="D447" s="74"/>
      <c r="E447" s="75"/>
      <c r="F447" s="34"/>
    </row>
    <row r="448" spans="1:6" s="1" customFormat="1" ht="15" x14ac:dyDescent="0.2">
      <c r="A448" s="19"/>
      <c r="B448" s="50"/>
      <c r="C448" s="50"/>
      <c r="D448" s="50"/>
      <c r="E448" s="50"/>
      <c r="F448" s="61"/>
    </row>
    <row r="449" spans="1:6" s="1" customFormat="1" ht="15" x14ac:dyDescent="0.2">
      <c r="A449" s="63" t="s">
        <v>219</v>
      </c>
      <c r="B449" s="2" t="s">
        <v>186</v>
      </c>
      <c r="C449" s="2" t="s">
        <v>192</v>
      </c>
      <c r="D449" s="43"/>
      <c r="E449" s="43"/>
      <c r="F449" s="33"/>
    </row>
    <row r="450" spans="1:6" s="1" customFormat="1" ht="15" x14ac:dyDescent="0.2">
      <c r="A450" s="380" t="s">
        <v>200</v>
      </c>
      <c r="B450" s="3" t="s">
        <v>202</v>
      </c>
      <c r="C450" s="3">
        <f>4.9*2+8*2</f>
        <v>25.8</v>
      </c>
      <c r="D450" s="50"/>
      <c r="E450" s="45"/>
      <c r="F450" s="34"/>
    </row>
    <row r="451" spans="1:6" s="1" customFormat="1" ht="15" x14ac:dyDescent="0.2">
      <c r="A451" s="380"/>
      <c r="B451" s="3" t="s">
        <v>203</v>
      </c>
      <c r="C451" s="3">
        <f>4.9*2+8*2</f>
        <v>25.8</v>
      </c>
      <c r="D451" s="50"/>
      <c r="E451" s="45"/>
      <c r="F451" s="34"/>
    </row>
    <row r="452" spans="1:6" s="1" customFormat="1" ht="15" x14ac:dyDescent="0.2">
      <c r="A452" s="380"/>
      <c r="B452" s="3" t="s">
        <v>204</v>
      </c>
      <c r="C452" s="3">
        <f>5*2+8*2</f>
        <v>26</v>
      </c>
      <c r="D452" s="50"/>
      <c r="E452" s="45"/>
      <c r="F452" s="34"/>
    </row>
    <row r="453" spans="1:6" s="1" customFormat="1" ht="15" x14ac:dyDescent="0.2">
      <c r="A453" s="380"/>
      <c r="B453" s="3" t="s">
        <v>205</v>
      </c>
      <c r="C453" s="3">
        <f>5*2+8*2</f>
        <v>26</v>
      </c>
      <c r="D453" s="50"/>
      <c r="E453" s="45"/>
      <c r="F453" s="34"/>
    </row>
    <row r="454" spans="1:6" s="1" customFormat="1" ht="15" x14ac:dyDescent="0.2">
      <c r="A454" s="380"/>
      <c r="B454" s="3" t="s">
        <v>206</v>
      </c>
      <c r="C454" s="3">
        <f>5.1*2+8*2</f>
        <v>26.2</v>
      </c>
      <c r="D454" s="50"/>
      <c r="E454" s="45"/>
      <c r="F454" s="34"/>
    </row>
    <row r="455" spans="1:6" s="1" customFormat="1" ht="15" x14ac:dyDescent="0.2">
      <c r="A455" s="380"/>
      <c r="B455" s="3" t="s">
        <v>207</v>
      </c>
      <c r="C455" s="3">
        <f>5.1*2+8*2</f>
        <v>26.2</v>
      </c>
      <c r="D455" s="50"/>
      <c r="E455" s="45"/>
      <c r="F455" s="34"/>
    </row>
    <row r="456" spans="1:6" s="1" customFormat="1" ht="15" x14ac:dyDescent="0.2">
      <c r="A456" s="380"/>
      <c r="B456" s="3" t="s">
        <v>308</v>
      </c>
      <c r="C456" s="3">
        <f>5*2+8*2</f>
        <v>26</v>
      </c>
      <c r="D456" s="50"/>
      <c r="E456" s="45"/>
      <c r="F456" s="34"/>
    </row>
    <row r="457" spans="1:6" s="1" customFormat="1" ht="15" x14ac:dyDescent="0.2">
      <c r="A457" s="380"/>
      <c r="B457" s="3" t="s">
        <v>309</v>
      </c>
      <c r="C457" s="3">
        <f>7*2+5.75*2</f>
        <v>25.5</v>
      </c>
      <c r="D457" s="50"/>
      <c r="E457" s="45"/>
      <c r="F457" s="34"/>
    </row>
    <row r="458" spans="1:6" s="1" customFormat="1" ht="25.5" x14ac:dyDescent="0.2">
      <c r="A458" s="380"/>
      <c r="B458" s="3" t="s">
        <v>220</v>
      </c>
      <c r="C458" s="3">
        <f>4.9*2+8*2</f>
        <v>25.8</v>
      </c>
      <c r="D458" s="50"/>
      <c r="E458" s="45"/>
      <c r="F458" s="34"/>
    </row>
    <row r="459" spans="1:6" s="1" customFormat="1" ht="15" x14ac:dyDescent="0.2">
      <c r="A459" s="380" t="s">
        <v>227</v>
      </c>
      <c r="B459" s="438"/>
      <c r="C459" s="14">
        <f>SUM(C450:C458)</f>
        <v>233.29999999999998</v>
      </c>
      <c r="D459" s="74"/>
      <c r="E459" s="76"/>
      <c r="F459" s="34"/>
    </row>
    <row r="460" spans="1:6" s="1" customFormat="1" ht="15" x14ac:dyDescent="0.2">
      <c r="A460" s="67"/>
      <c r="B460" s="50"/>
      <c r="C460" s="50"/>
      <c r="D460" s="50"/>
      <c r="E460" s="45"/>
      <c r="F460" s="35"/>
    </row>
    <row r="461" spans="1:6" s="1" customFormat="1" ht="15" x14ac:dyDescent="0.2">
      <c r="A461" s="384" t="s">
        <v>227</v>
      </c>
      <c r="B461" s="386"/>
      <c r="C461" s="13">
        <f>C447+C459</f>
        <v>410.41999999999996</v>
      </c>
      <c r="D461" s="77"/>
      <c r="E461" s="72"/>
      <c r="F461" s="35"/>
    </row>
    <row r="462" spans="1:6" s="1" customFormat="1" ht="15" x14ac:dyDescent="0.2">
      <c r="A462" s="19"/>
      <c r="B462" s="50"/>
      <c r="C462" s="50"/>
      <c r="D462" s="50"/>
      <c r="E462" s="50"/>
      <c r="F462" s="61"/>
    </row>
    <row r="463" spans="1:6" ht="24" customHeight="1" x14ac:dyDescent="0.2">
      <c r="A463" s="57" t="s">
        <v>54</v>
      </c>
      <c r="B463" s="388" t="s">
        <v>55</v>
      </c>
      <c r="C463" s="388"/>
      <c r="D463" s="388"/>
      <c r="E463" s="6"/>
      <c r="F463" s="58">
        <v>1</v>
      </c>
    </row>
    <row r="464" spans="1:6" ht="24" customHeight="1" x14ac:dyDescent="0.2">
      <c r="A464" s="59" t="s">
        <v>56</v>
      </c>
      <c r="B464" s="387" t="s">
        <v>57</v>
      </c>
      <c r="C464" s="387"/>
      <c r="D464" s="387"/>
      <c r="E464" s="7" t="s">
        <v>13</v>
      </c>
      <c r="F464" s="60">
        <f>F467</f>
        <v>622.22</v>
      </c>
    </row>
    <row r="465" spans="1:6" s="1" customFormat="1" ht="15" x14ac:dyDescent="0.2">
      <c r="A465" s="19"/>
      <c r="B465" s="50"/>
      <c r="C465" s="50"/>
      <c r="D465" s="50"/>
      <c r="E465" s="50"/>
      <c r="F465" s="61"/>
    </row>
    <row r="466" spans="1:6" s="1" customFormat="1" ht="15" x14ac:dyDescent="0.2">
      <c r="A466" s="63" t="s">
        <v>201</v>
      </c>
      <c r="B466" s="2" t="s">
        <v>186</v>
      </c>
      <c r="C466" s="2" t="s">
        <v>187</v>
      </c>
      <c r="D466" s="2" t="s">
        <v>188</v>
      </c>
      <c r="E466" s="2" t="s">
        <v>194</v>
      </c>
      <c r="F466" s="28" t="s">
        <v>195</v>
      </c>
    </row>
    <row r="467" spans="1:6" s="1" customFormat="1" ht="15" x14ac:dyDescent="0.2">
      <c r="A467" s="381" t="s">
        <v>199</v>
      </c>
      <c r="B467" s="3" t="s">
        <v>202</v>
      </c>
      <c r="C467" s="3"/>
      <c r="D467" s="3"/>
      <c r="E467" s="5">
        <v>40.76</v>
      </c>
      <c r="F467" s="405">
        <f>SUM(E467:E486)</f>
        <v>622.22</v>
      </c>
    </row>
    <row r="468" spans="1:6" s="1" customFormat="1" ht="15" x14ac:dyDescent="0.2">
      <c r="A468" s="382"/>
      <c r="B468" s="3" t="s">
        <v>203</v>
      </c>
      <c r="C468" s="3"/>
      <c r="D468" s="3"/>
      <c r="E468" s="5">
        <v>40</v>
      </c>
      <c r="F468" s="406"/>
    </row>
    <row r="469" spans="1:6" s="1" customFormat="1" ht="15" x14ac:dyDescent="0.2">
      <c r="A469" s="382"/>
      <c r="B469" s="3" t="s">
        <v>204</v>
      </c>
      <c r="C469" s="3"/>
      <c r="D469" s="3"/>
      <c r="E469" s="5">
        <v>40</v>
      </c>
      <c r="F469" s="406"/>
    </row>
    <row r="470" spans="1:6" s="1" customFormat="1" ht="15" x14ac:dyDescent="0.2">
      <c r="A470" s="382"/>
      <c r="B470" s="3" t="s">
        <v>205</v>
      </c>
      <c r="C470" s="3"/>
      <c r="D470" s="3"/>
      <c r="E470" s="5">
        <v>39.200000000000003</v>
      </c>
      <c r="F470" s="406"/>
    </row>
    <row r="471" spans="1:6" s="1" customFormat="1" ht="15" x14ac:dyDescent="0.2">
      <c r="A471" s="382"/>
      <c r="B471" s="3" t="s">
        <v>206</v>
      </c>
      <c r="C471" s="3"/>
      <c r="D471" s="3"/>
      <c r="E471" s="5">
        <v>39.89</v>
      </c>
      <c r="F471" s="406"/>
    </row>
    <row r="472" spans="1:6" s="1" customFormat="1" ht="15" x14ac:dyDescent="0.2">
      <c r="A472" s="382"/>
      <c r="B472" s="3" t="s">
        <v>207</v>
      </c>
      <c r="C472" s="3"/>
      <c r="D472" s="3"/>
      <c r="E472" s="5">
        <v>39.159999999999997</v>
      </c>
      <c r="F472" s="406"/>
    </row>
    <row r="473" spans="1:6" s="1" customFormat="1" ht="15" x14ac:dyDescent="0.2">
      <c r="A473" s="382"/>
      <c r="B473" s="3" t="s">
        <v>308</v>
      </c>
      <c r="C473" s="3"/>
      <c r="D473" s="3"/>
      <c r="E473" s="5">
        <f>29.58</f>
        <v>29.58</v>
      </c>
      <c r="F473" s="406"/>
    </row>
    <row r="474" spans="1:6" s="1" customFormat="1" ht="25.5" x14ac:dyDescent="0.2">
      <c r="A474" s="382"/>
      <c r="B474" s="3" t="s">
        <v>318</v>
      </c>
      <c r="C474" s="3"/>
      <c r="D474" s="3"/>
      <c r="E474" s="5">
        <f>39.2</f>
        <v>39.200000000000003</v>
      </c>
      <c r="F474" s="406"/>
    </row>
    <row r="475" spans="1:6" s="1" customFormat="1" ht="15" x14ac:dyDescent="0.2">
      <c r="A475" s="382"/>
      <c r="B475" s="3" t="s">
        <v>208</v>
      </c>
      <c r="C475" s="3"/>
      <c r="D475" s="3"/>
      <c r="E475" s="5">
        <f>165.31-29.58</f>
        <v>135.73000000000002</v>
      </c>
      <c r="F475" s="406"/>
    </row>
    <row r="476" spans="1:6" s="1" customFormat="1" ht="15" x14ac:dyDescent="0.2">
      <c r="A476" s="382"/>
      <c r="B476" s="3" t="s">
        <v>209</v>
      </c>
      <c r="C476" s="3"/>
      <c r="D476" s="3"/>
      <c r="E476" s="5">
        <v>10.17</v>
      </c>
      <c r="F476" s="406"/>
    </row>
    <row r="477" spans="1:6" s="1" customFormat="1" ht="15" x14ac:dyDescent="0.2">
      <c r="A477" s="382"/>
      <c r="B477" s="3" t="s">
        <v>210</v>
      </c>
      <c r="C477" s="3"/>
      <c r="D477" s="3"/>
      <c r="E477" s="5">
        <v>10.32</v>
      </c>
      <c r="F477" s="406"/>
    </row>
    <row r="478" spans="1:6" s="1" customFormat="1" ht="15" x14ac:dyDescent="0.2">
      <c r="A478" s="382"/>
      <c r="B478" s="3" t="s">
        <v>211</v>
      </c>
      <c r="C478" s="3"/>
      <c r="D478" s="3"/>
      <c r="E478" s="5">
        <v>11.92</v>
      </c>
      <c r="F478" s="406"/>
    </row>
    <row r="479" spans="1:6" s="1" customFormat="1" ht="15" x14ac:dyDescent="0.2">
      <c r="A479" s="382"/>
      <c r="B479" s="3" t="s">
        <v>212</v>
      </c>
      <c r="C479" s="3"/>
      <c r="D479" s="3"/>
      <c r="E479" s="5">
        <v>1.48</v>
      </c>
      <c r="F479" s="406"/>
    </row>
    <row r="480" spans="1:6" s="1" customFormat="1" ht="15" x14ac:dyDescent="0.2">
      <c r="A480" s="382"/>
      <c r="B480" s="3" t="s">
        <v>212</v>
      </c>
      <c r="C480" s="3"/>
      <c r="D480" s="3"/>
      <c r="E480" s="5">
        <v>1.48</v>
      </c>
      <c r="F480" s="406"/>
    </row>
    <row r="481" spans="1:6" s="1" customFormat="1" ht="15" x14ac:dyDescent="0.2">
      <c r="A481" s="382"/>
      <c r="B481" s="3" t="s">
        <v>213</v>
      </c>
      <c r="C481" s="3"/>
      <c r="D481" s="3"/>
      <c r="E481" s="5">
        <v>10.23</v>
      </c>
      <c r="F481" s="406"/>
    </row>
    <row r="482" spans="1:6" s="1" customFormat="1" ht="15" x14ac:dyDescent="0.2">
      <c r="A482" s="382"/>
      <c r="B482" s="3" t="s">
        <v>214</v>
      </c>
      <c r="C482" s="3"/>
      <c r="D482" s="3"/>
      <c r="E482" s="5">
        <v>18</v>
      </c>
      <c r="F482" s="406"/>
    </row>
    <row r="483" spans="1:6" s="1" customFormat="1" ht="15" x14ac:dyDescent="0.2">
      <c r="A483" s="382"/>
      <c r="B483" s="3" t="s">
        <v>215</v>
      </c>
      <c r="C483" s="3"/>
      <c r="D483" s="3"/>
      <c r="E483" s="5">
        <v>4.12</v>
      </c>
      <c r="F483" s="406"/>
    </row>
    <row r="484" spans="1:6" s="1" customFormat="1" ht="15" x14ac:dyDescent="0.2">
      <c r="A484" s="382"/>
      <c r="B484" s="3" t="s">
        <v>216</v>
      </c>
      <c r="C484" s="3"/>
      <c r="D484" s="3"/>
      <c r="E484" s="5">
        <v>4.12</v>
      </c>
      <c r="F484" s="406"/>
    </row>
    <row r="485" spans="1:6" s="1" customFormat="1" ht="15" x14ac:dyDescent="0.2">
      <c r="A485" s="382"/>
      <c r="B485" s="3" t="s">
        <v>221</v>
      </c>
      <c r="C485" s="3"/>
      <c r="D485" s="3"/>
      <c r="E485" s="5">
        <f>51.26</f>
        <v>51.26</v>
      </c>
      <c r="F485" s="406"/>
    </row>
    <row r="486" spans="1:6" s="1" customFormat="1" ht="15" x14ac:dyDescent="0.2">
      <c r="A486" s="383"/>
      <c r="B486" s="3" t="s">
        <v>217</v>
      </c>
      <c r="C486" s="3"/>
      <c r="D486" s="3"/>
      <c r="E486" s="5">
        <v>55.6</v>
      </c>
      <c r="F486" s="407"/>
    </row>
    <row r="487" spans="1:6" s="1" customFormat="1" ht="15" x14ac:dyDescent="0.2">
      <c r="A487" s="67"/>
      <c r="B487" s="50"/>
      <c r="C487" s="50"/>
      <c r="D487" s="50"/>
      <c r="E487" s="45"/>
      <c r="F487" s="35"/>
    </row>
    <row r="488" spans="1:6" ht="51.95" customHeight="1" x14ac:dyDescent="0.2">
      <c r="A488" s="59" t="s">
        <v>58</v>
      </c>
      <c r="B488" s="387" t="s">
        <v>59</v>
      </c>
      <c r="C488" s="387"/>
      <c r="D488" s="387"/>
      <c r="E488" s="7" t="s">
        <v>13</v>
      </c>
      <c r="F488" s="60">
        <f>F532</f>
        <v>1205.1299999999999</v>
      </c>
    </row>
    <row r="489" spans="1:6" s="1" customFormat="1" ht="15" x14ac:dyDescent="0.2">
      <c r="A489" s="19"/>
      <c r="B489" s="50"/>
      <c r="C489" s="50"/>
      <c r="D489" s="50"/>
      <c r="E489" s="50"/>
      <c r="F489" s="61"/>
    </row>
    <row r="490" spans="1:6" s="1" customFormat="1" ht="15" x14ac:dyDescent="0.2">
      <c r="A490" s="63" t="s">
        <v>201</v>
      </c>
      <c r="B490" s="2" t="s">
        <v>186</v>
      </c>
      <c r="C490" s="2" t="s">
        <v>187</v>
      </c>
      <c r="D490" s="2" t="s">
        <v>188</v>
      </c>
      <c r="E490" s="2" t="s">
        <v>194</v>
      </c>
      <c r="F490" s="28" t="s">
        <v>195</v>
      </c>
    </row>
    <row r="491" spans="1:6" s="1" customFormat="1" ht="15" x14ac:dyDescent="0.2">
      <c r="A491" s="381" t="s">
        <v>199</v>
      </c>
      <c r="B491" s="3" t="s">
        <v>202</v>
      </c>
      <c r="C491" s="3"/>
      <c r="D491" s="3"/>
      <c r="E491" s="5">
        <v>40.76</v>
      </c>
      <c r="F491" s="405">
        <f>SUM(E491:E510)</f>
        <v>622.22</v>
      </c>
    </row>
    <row r="492" spans="1:6" s="1" customFormat="1" ht="15" x14ac:dyDescent="0.2">
      <c r="A492" s="382"/>
      <c r="B492" s="3" t="s">
        <v>203</v>
      </c>
      <c r="C492" s="3"/>
      <c r="D492" s="3"/>
      <c r="E492" s="5">
        <v>40</v>
      </c>
      <c r="F492" s="406"/>
    </row>
    <row r="493" spans="1:6" s="1" customFormat="1" ht="15" x14ac:dyDescent="0.2">
      <c r="A493" s="382"/>
      <c r="B493" s="3" t="s">
        <v>204</v>
      </c>
      <c r="C493" s="3"/>
      <c r="D493" s="3"/>
      <c r="E493" s="5">
        <v>40</v>
      </c>
      <c r="F493" s="406"/>
    </row>
    <row r="494" spans="1:6" s="1" customFormat="1" ht="15" x14ac:dyDescent="0.2">
      <c r="A494" s="382"/>
      <c r="B494" s="3" t="s">
        <v>205</v>
      </c>
      <c r="C494" s="3"/>
      <c r="D494" s="3"/>
      <c r="E494" s="5">
        <v>39.200000000000003</v>
      </c>
      <c r="F494" s="406"/>
    </row>
    <row r="495" spans="1:6" s="1" customFormat="1" ht="15" x14ac:dyDescent="0.2">
      <c r="A495" s="382"/>
      <c r="B495" s="3" t="s">
        <v>206</v>
      </c>
      <c r="C495" s="3"/>
      <c r="D495" s="3"/>
      <c r="E495" s="5">
        <v>39.89</v>
      </c>
      <c r="F495" s="406"/>
    </row>
    <row r="496" spans="1:6" s="1" customFormat="1" ht="15" x14ac:dyDescent="0.2">
      <c r="A496" s="382"/>
      <c r="B496" s="3" t="s">
        <v>207</v>
      </c>
      <c r="C496" s="3"/>
      <c r="D496" s="3"/>
      <c r="E496" s="5">
        <v>39.159999999999997</v>
      </c>
      <c r="F496" s="406"/>
    </row>
    <row r="497" spans="1:6" s="1" customFormat="1" ht="15" x14ac:dyDescent="0.2">
      <c r="A497" s="382"/>
      <c r="B497" s="3" t="s">
        <v>308</v>
      </c>
      <c r="C497" s="3"/>
      <c r="D497" s="3"/>
      <c r="E497" s="5">
        <f>29.58</f>
        <v>29.58</v>
      </c>
      <c r="F497" s="406"/>
    </row>
    <row r="498" spans="1:6" s="1" customFormat="1" ht="25.5" x14ac:dyDescent="0.2">
      <c r="A498" s="382"/>
      <c r="B498" s="3" t="s">
        <v>318</v>
      </c>
      <c r="C498" s="3"/>
      <c r="D498" s="3"/>
      <c r="E498" s="5">
        <f>39.2</f>
        <v>39.200000000000003</v>
      </c>
      <c r="F498" s="406"/>
    </row>
    <row r="499" spans="1:6" s="1" customFormat="1" ht="15" x14ac:dyDescent="0.2">
      <c r="A499" s="382"/>
      <c r="B499" s="3" t="s">
        <v>208</v>
      </c>
      <c r="C499" s="3"/>
      <c r="D499" s="3"/>
      <c r="E499" s="5">
        <f>165.31-29.58</f>
        <v>135.73000000000002</v>
      </c>
      <c r="F499" s="406"/>
    </row>
    <row r="500" spans="1:6" s="1" customFormat="1" ht="15" x14ac:dyDescent="0.2">
      <c r="A500" s="382"/>
      <c r="B500" s="3" t="s">
        <v>209</v>
      </c>
      <c r="C500" s="3"/>
      <c r="D500" s="3"/>
      <c r="E500" s="5">
        <v>10.17</v>
      </c>
      <c r="F500" s="406"/>
    </row>
    <row r="501" spans="1:6" s="1" customFormat="1" ht="15" x14ac:dyDescent="0.2">
      <c r="A501" s="382"/>
      <c r="B501" s="3" t="s">
        <v>210</v>
      </c>
      <c r="C501" s="3"/>
      <c r="D501" s="3"/>
      <c r="E501" s="5">
        <v>10.32</v>
      </c>
      <c r="F501" s="406"/>
    </row>
    <row r="502" spans="1:6" s="1" customFormat="1" ht="15" x14ac:dyDescent="0.2">
      <c r="A502" s="382"/>
      <c r="B502" s="3" t="s">
        <v>211</v>
      </c>
      <c r="C502" s="3"/>
      <c r="D502" s="3"/>
      <c r="E502" s="5">
        <v>11.92</v>
      </c>
      <c r="F502" s="406"/>
    </row>
    <row r="503" spans="1:6" s="1" customFormat="1" ht="15" x14ac:dyDescent="0.2">
      <c r="A503" s="382"/>
      <c r="B503" s="3" t="s">
        <v>212</v>
      </c>
      <c r="C503" s="3"/>
      <c r="D503" s="3"/>
      <c r="E503" s="5">
        <v>1.48</v>
      </c>
      <c r="F503" s="406"/>
    </row>
    <row r="504" spans="1:6" s="1" customFormat="1" ht="15" x14ac:dyDescent="0.2">
      <c r="A504" s="382"/>
      <c r="B504" s="3" t="s">
        <v>212</v>
      </c>
      <c r="C504" s="3"/>
      <c r="D504" s="3"/>
      <c r="E504" s="5">
        <v>1.48</v>
      </c>
      <c r="F504" s="406"/>
    </row>
    <row r="505" spans="1:6" s="1" customFormat="1" ht="15" x14ac:dyDescent="0.2">
      <c r="A505" s="382"/>
      <c r="B505" s="3" t="s">
        <v>213</v>
      </c>
      <c r="C505" s="3"/>
      <c r="D505" s="3"/>
      <c r="E505" s="5">
        <v>10.23</v>
      </c>
      <c r="F505" s="406"/>
    </row>
    <row r="506" spans="1:6" s="1" customFormat="1" ht="15" x14ac:dyDescent="0.2">
      <c r="A506" s="382"/>
      <c r="B506" s="3" t="s">
        <v>214</v>
      </c>
      <c r="C506" s="3"/>
      <c r="D506" s="3"/>
      <c r="E506" s="5">
        <v>18</v>
      </c>
      <c r="F506" s="406"/>
    </row>
    <row r="507" spans="1:6" s="1" customFormat="1" ht="15" x14ac:dyDescent="0.2">
      <c r="A507" s="382"/>
      <c r="B507" s="3" t="s">
        <v>215</v>
      </c>
      <c r="C507" s="3"/>
      <c r="D507" s="3"/>
      <c r="E507" s="5">
        <v>4.12</v>
      </c>
      <c r="F507" s="406"/>
    </row>
    <row r="508" spans="1:6" s="1" customFormat="1" ht="15" x14ac:dyDescent="0.2">
      <c r="A508" s="382"/>
      <c r="B508" s="3" t="s">
        <v>216</v>
      </c>
      <c r="C508" s="3"/>
      <c r="D508" s="3"/>
      <c r="E508" s="5">
        <v>4.12</v>
      </c>
      <c r="F508" s="406"/>
    </row>
    <row r="509" spans="1:6" s="1" customFormat="1" ht="15" x14ac:dyDescent="0.2">
      <c r="A509" s="382"/>
      <c r="B509" s="3" t="s">
        <v>221</v>
      </c>
      <c r="C509" s="3"/>
      <c r="D509" s="3"/>
      <c r="E509" s="5">
        <f>51.26</f>
        <v>51.26</v>
      </c>
      <c r="F509" s="406"/>
    </row>
    <row r="510" spans="1:6" s="1" customFormat="1" ht="15" x14ac:dyDescent="0.2">
      <c r="A510" s="383"/>
      <c r="B510" s="3" t="s">
        <v>217</v>
      </c>
      <c r="C510" s="3"/>
      <c r="D510" s="3"/>
      <c r="E510" s="5">
        <v>55.6</v>
      </c>
      <c r="F510" s="407"/>
    </row>
    <row r="511" spans="1:6" s="1" customFormat="1" ht="15" x14ac:dyDescent="0.2">
      <c r="A511" s="19"/>
      <c r="B511" s="50"/>
      <c r="C511" s="50"/>
      <c r="D511" s="50"/>
      <c r="E511" s="50"/>
      <c r="F511" s="61"/>
    </row>
    <row r="512" spans="1:6" s="1" customFormat="1" ht="15" x14ac:dyDescent="0.2">
      <c r="A512" s="63" t="s">
        <v>219</v>
      </c>
      <c r="B512" s="2" t="s">
        <v>186</v>
      </c>
      <c r="C512" s="2" t="s">
        <v>187</v>
      </c>
      <c r="D512" s="2" t="s">
        <v>188</v>
      </c>
      <c r="E512" s="2" t="s">
        <v>194</v>
      </c>
      <c r="F512" s="28" t="s">
        <v>195</v>
      </c>
    </row>
    <row r="513" spans="1:6" s="1" customFormat="1" ht="15" x14ac:dyDescent="0.2">
      <c r="A513" s="380" t="s">
        <v>199</v>
      </c>
      <c r="B513" s="3" t="s">
        <v>202</v>
      </c>
      <c r="C513" s="3"/>
      <c r="D513" s="3"/>
      <c r="E513" s="5">
        <v>39.200000000000003</v>
      </c>
      <c r="F513" s="403">
        <f>SUM(E513:E530)</f>
        <v>582.90999999999985</v>
      </c>
    </row>
    <row r="514" spans="1:6" s="1" customFormat="1" ht="15" x14ac:dyDescent="0.2">
      <c r="A514" s="380"/>
      <c r="B514" s="3" t="s">
        <v>203</v>
      </c>
      <c r="C514" s="3"/>
      <c r="D514" s="3"/>
      <c r="E514" s="5">
        <v>39.200000000000003</v>
      </c>
      <c r="F514" s="403"/>
    </row>
    <row r="515" spans="1:6" s="1" customFormat="1" ht="15" x14ac:dyDescent="0.2">
      <c r="A515" s="380"/>
      <c r="B515" s="3" t="s">
        <v>204</v>
      </c>
      <c r="C515" s="3"/>
      <c r="D515" s="3"/>
      <c r="E515" s="5">
        <v>40.799999999999997</v>
      </c>
      <c r="F515" s="403"/>
    </row>
    <row r="516" spans="1:6" s="1" customFormat="1" ht="15" x14ac:dyDescent="0.2">
      <c r="A516" s="380"/>
      <c r="B516" s="3" t="s">
        <v>205</v>
      </c>
      <c r="C516" s="3"/>
      <c r="D516" s="3"/>
      <c r="E516" s="5">
        <v>40.799999999999997</v>
      </c>
      <c r="F516" s="403"/>
    </row>
    <row r="517" spans="1:6" s="1" customFormat="1" ht="15" x14ac:dyDescent="0.2">
      <c r="A517" s="380"/>
      <c r="B517" s="3" t="s">
        <v>206</v>
      </c>
      <c r="C517" s="3"/>
      <c r="D517" s="3"/>
      <c r="E517" s="5">
        <v>39.96</v>
      </c>
      <c r="F517" s="403"/>
    </row>
    <row r="518" spans="1:6" s="1" customFormat="1" ht="15" x14ac:dyDescent="0.2">
      <c r="A518" s="380"/>
      <c r="B518" s="3" t="s">
        <v>207</v>
      </c>
      <c r="C518" s="3"/>
      <c r="D518" s="3"/>
      <c r="E518" s="5">
        <v>39.96</v>
      </c>
      <c r="F518" s="403"/>
    </row>
    <row r="519" spans="1:6" s="1" customFormat="1" ht="15" x14ac:dyDescent="0.2">
      <c r="A519" s="380"/>
      <c r="B519" s="3" t="s">
        <v>308</v>
      </c>
      <c r="C519" s="3"/>
      <c r="D519" s="3"/>
      <c r="E519" s="5">
        <v>40</v>
      </c>
      <c r="F519" s="403"/>
    </row>
    <row r="520" spans="1:6" s="1" customFormat="1" ht="15" x14ac:dyDescent="0.2">
      <c r="A520" s="380"/>
      <c r="B520" s="3" t="s">
        <v>309</v>
      </c>
      <c r="C520" s="3"/>
      <c r="D520" s="3"/>
      <c r="E520" s="5">
        <v>40.25</v>
      </c>
      <c r="F520" s="403"/>
    </row>
    <row r="521" spans="1:6" s="1" customFormat="1" ht="15" x14ac:dyDescent="0.2">
      <c r="A521" s="380"/>
      <c r="B521" s="3" t="s">
        <v>208</v>
      </c>
      <c r="C521" s="3"/>
      <c r="D521" s="3"/>
      <c r="E521" s="5">
        <v>116.27</v>
      </c>
      <c r="F521" s="403"/>
    </row>
    <row r="522" spans="1:6" s="1" customFormat="1" ht="15" x14ac:dyDescent="0.2">
      <c r="A522" s="380"/>
      <c r="B522" s="3" t="s">
        <v>209</v>
      </c>
      <c r="C522" s="3"/>
      <c r="D522" s="3"/>
      <c r="E522" s="5">
        <v>17.04</v>
      </c>
      <c r="F522" s="403"/>
    </row>
    <row r="523" spans="1:6" s="1" customFormat="1" ht="15" x14ac:dyDescent="0.2">
      <c r="A523" s="380"/>
      <c r="B523" s="3" t="s">
        <v>210</v>
      </c>
      <c r="C523" s="3"/>
      <c r="D523" s="3"/>
      <c r="E523" s="5">
        <v>17.190000000000001</v>
      </c>
      <c r="F523" s="403"/>
    </row>
    <row r="524" spans="1:6" s="1" customFormat="1" ht="25.5" x14ac:dyDescent="0.2">
      <c r="A524" s="380"/>
      <c r="B524" s="3" t="s">
        <v>220</v>
      </c>
      <c r="C524" s="3"/>
      <c r="D524" s="3"/>
      <c r="E524" s="5">
        <v>39.799999999999997</v>
      </c>
      <c r="F524" s="403"/>
    </row>
    <row r="525" spans="1:6" s="1" customFormat="1" ht="15" x14ac:dyDescent="0.2">
      <c r="A525" s="380"/>
      <c r="B525" s="3" t="s">
        <v>222</v>
      </c>
      <c r="C525" s="3"/>
      <c r="D525" s="3"/>
      <c r="E525" s="5">
        <v>8.0399999999999991</v>
      </c>
      <c r="F525" s="403"/>
    </row>
    <row r="526" spans="1:6" s="1" customFormat="1" ht="15" x14ac:dyDescent="0.2">
      <c r="A526" s="380"/>
      <c r="B526" s="3" t="s">
        <v>223</v>
      </c>
      <c r="C526" s="3"/>
      <c r="D526" s="3"/>
      <c r="E526" s="5">
        <v>3.79</v>
      </c>
      <c r="F526" s="403"/>
    </row>
    <row r="527" spans="1:6" s="1" customFormat="1" ht="15" x14ac:dyDescent="0.2">
      <c r="A527" s="380"/>
      <c r="B527" s="3" t="s">
        <v>226</v>
      </c>
      <c r="C527" s="3"/>
      <c r="D527" s="3"/>
      <c r="E527" s="5">
        <v>2.5099999999999998</v>
      </c>
      <c r="F527" s="403"/>
    </row>
    <row r="528" spans="1:6" s="1" customFormat="1" ht="15" x14ac:dyDescent="0.2">
      <c r="A528" s="380"/>
      <c r="B528" s="3" t="s">
        <v>226</v>
      </c>
      <c r="C528" s="3"/>
      <c r="D528" s="3"/>
      <c r="E528" s="5">
        <v>2.5099999999999998</v>
      </c>
      <c r="F528" s="403"/>
    </row>
    <row r="529" spans="1:6" s="1" customFormat="1" ht="15" x14ac:dyDescent="0.2">
      <c r="A529" s="380"/>
      <c r="B529" s="3" t="s">
        <v>221</v>
      </c>
      <c r="C529" s="3"/>
      <c r="D529" s="3"/>
      <c r="E529" s="5">
        <v>40.04</v>
      </c>
      <c r="F529" s="403"/>
    </row>
    <row r="530" spans="1:6" s="1" customFormat="1" ht="15" x14ac:dyDescent="0.2">
      <c r="A530" s="380"/>
      <c r="B530" s="3" t="s">
        <v>311</v>
      </c>
      <c r="C530" s="3"/>
      <c r="D530" s="3"/>
      <c r="E530" s="5">
        <v>15.55</v>
      </c>
      <c r="F530" s="403"/>
    </row>
    <row r="531" spans="1:6" s="1" customFormat="1" ht="15" x14ac:dyDescent="0.2">
      <c r="A531" s="67"/>
      <c r="B531" s="50"/>
      <c r="C531" s="50"/>
      <c r="D531" s="50"/>
      <c r="E531" s="45"/>
      <c r="F531" s="35"/>
    </row>
    <row r="532" spans="1:6" s="1" customFormat="1" ht="15" x14ac:dyDescent="0.2">
      <c r="A532" s="394" t="s">
        <v>227</v>
      </c>
      <c r="B532" s="395"/>
      <c r="C532" s="395"/>
      <c r="D532" s="395"/>
      <c r="E532" s="395"/>
      <c r="F532" s="31">
        <f>F491+F513</f>
        <v>1205.1299999999999</v>
      </c>
    </row>
    <row r="533" spans="1:6" s="1" customFormat="1" ht="15" x14ac:dyDescent="0.2">
      <c r="A533" s="19"/>
      <c r="B533" s="50"/>
      <c r="C533" s="50"/>
      <c r="D533" s="50"/>
      <c r="E533" s="50"/>
      <c r="F533" s="61"/>
    </row>
    <row r="534" spans="1:6" ht="24" customHeight="1" x14ac:dyDescent="0.2">
      <c r="A534" s="59" t="s">
        <v>60</v>
      </c>
      <c r="B534" s="387" t="s">
        <v>61</v>
      </c>
      <c r="C534" s="387"/>
      <c r="D534" s="387"/>
      <c r="E534" s="7" t="s">
        <v>13</v>
      </c>
      <c r="F534" s="60">
        <f>F537</f>
        <v>582.90999999999985</v>
      </c>
    </row>
    <row r="535" spans="1:6" s="1" customFormat="1" ht="15" x14ac:dyDescent="0.2">
      <c r="A535" s="19"/>
      <c r="B535" s="50"/>
      <c r="C535" s="50"/>
      <c r="D535" s="50"/>
      <c r="E535" s="50"/>
      <c r="F535" s="61"/>
    </row>
    <row r="536" spans="1:6" s="1" customFormat="1" ht="15" x14ac:dyDescent="0.2">
      <c r="A536" s="63" t="s">
        <v>219</v>
      </c>
      <c r="B536" s="2" t="s">
        <v>186</v>
      </c>
      <c r="C536" s="2" t="s">
        <v>187</v>
      </c>
      <c r="D536" s="2" t="s">
        <v>188</v>
      </c>
      <c r="E536" s="2" t="s">
        <v>194</v>
      </c>
      <c r="F536" s="28" t="s">
        <v>195</v>
      </c>
    </row>
    <row r="537" spans="1:6" s="1" customFormat="1" ht="15" x14ac:dyDescent="0.2">
      <c r="A537" s="380" t="s">
        <v>199</v>
      </c>
      <c r="B537" s="3" t="s">
        <v>202</v>
      </c>
      <c r="C537" s="3"/>
      <c r="D537" s="3"/>
      <c r="E537" s="5">
        <v>39.200000000000003</v>
      </c>
      <c r="F537" s="403">
        <f>SUM(E537:E554)</f>
        <v>582.90999999999985</v>
      </c>
    </row>
    <row r="538" spans="1:6" s="1" customFormat="1" ht="15" x14ac:dyDescent="0.2">
      <c r="A538" s="380"/>
      <c r="B538" s="3" t="s">
        <v>203</v>
      </c>
      <c r="C538" s="3"/>
      <c r="D538" s="3"/>
      <c r="E538" s="5">
        <v>39.200000000000003</v>
      </c>
      <c r="F538" s="403"/>
    </row>
    <row r="539" spans="1:6" s="1" customFormat="1" ht="15" x14ac:dyDescent="0.2">
      <c r="A539" s="380"/>
      <c r="B539" s="3" t="s">
        <v>204</v>
      </c>
      <c r="C539" s="3"/>
      <c r="D539" s="3"/>
      <c r="E539" s="5">
        <v>40.799999999999997</v>
      </c>
      <c r="F539" s="403"/>
    </row>
    <row r="540" spans="1:6" s="1" customFormat="1" ht="15" x14ac:dyDescent="0.2">
      <c r="A540" s="380"/>
      <c r="B540" s="3" t="s">
        <v>205</v>
      </c>
      <c r="C540" s="3"/>
      <c r="D540" s="3"/>
      <c r="E540" s="5">
        <v>40.799999999999997</v>
      </c>
      <c r="F540" s="403"/>
    </row>
    <row r="541" spans="1:6" s="1" customFormat="1" ht="15" x14ac:dyDescent="0.2">
      <c r="A541" s="380"/>
      <c r="B541" s="3" t="s">
        <v>206</v>
      </c>
      <c r="C541" s="3"/>
      <c r="D541" s="3"/>
      <c r="E541" s="5">
        <v>39.96</v>
      </c>
      <c r="F541" s="403"/>
    </row>
    <row r="542" spans="1:6" s="1" customFormat="1" ht="15" x14ac:dyDescent="0.2">
      <c r="A542" s="380"/>
      <c r="B542" s="3" t="s">
        <v>207</v>
      </c>
      <c r="C542" s="3"/>
      <c r="D542" s="3"/>
      <c r="E542" s="5">
        <v>39.96</v>
      </c>
      <c r="F542" s="403"/>
    </row>
    <row r="543" spans="1:6" s="1" customFormat="1" ht="15" x14ac:dyDescent="0.2">
      <c r="A543" s="380"/>
      <c r="B543" s="3" t="s">
        <v>308</v>
      </c>
      <c r="C543" s="3"/>
      <c r="D543" s="3"/>
      <c r="E543" s="5">
        <v>40</v>
      </c>
      <c r="F543" s="403"/>
    </row>
    <row r="544" spans="1:6" s="1" customFormat="1" ht="15" x14ac:dyDescent="0.2">
      <c r="A544" s="380"/>
      <c r="B544" s="3" t="s">
        <v>309</v>
      </c>
      <c r="C544" s="3"/>
      <c r="D544" s="3"/>
      <c r="E544" s="5">
        <v>40.25</v>
      </c>
      <c r="F544" s="403"/>
    </row>
    <row r="545" spans="1:6" s="1" customFormat="1" ht="15" x14ac:dyDescent="0.2">
      <c r="A545" s="380"/>
      <c r="B545" s="3" t="s">
        <v>208</v>
      </c>
      <c r="C545" s="3"/>
      <c r="D545" s="3"/>
      <c r="E545" s="5">
        <v>116.27</v>
      </c>
      <c r="F545" s="403"/>
    </row>
    <row r="546" spans="1:6" s="1" customFormat="1" ht="15" x14ac:dyDescent="0.2">
      <c r="A546" s="380"/>
      <c r="B546" s="3" t="s">
        <v>209</v>
      </c>
      <c r="C546" s="3"/>
      <c r="D546" s="3"/>
      <c r="E546" s="5">
        <v>17.04</v>
      </c>
      <c r="F546" s="403"/>
    </row>
    <row r="547" spans="1:6" s="1" customFormat="1" ht="15" x14ac:dyDescent="0.2">
      <c r="A547" s="380"/>
      <c r="B547" s="3" t="s">
        <v>210</v>
      </c>
      <c r="C547" s="3"/>
      <c r="D547" s="3"/>
      <c r="E547" s="5">
        <v>17.190000000000001</v>
      </c>
      <c r="F547" s="403"/>
    </row>
    <row r="548" spans="1:6" s="1" customFormat="1" ht="25.5" x14ac:dyDescent="0.2">
      <c r="A548" s="380"/>
      <c r="B548" s="3" t="s">
        <v>220</v>
      </c>
      <c r="C548" s="3"/>
      <c r="D548" s="3"/>
      <c r="E548" s="5">
        <v>39.799999999999997</v>
      </c>
      <c r="F548" s="403"/>
    </row>
    <row r="549" spans="1:6" s="1" customFormat="1" ht="15" x14ac:dyDescent="0.2">
      <c r="A549" s="380"/>
      <c r="B549" s="3" t="s">
        <v>222</v>
      </c>
      <c r="C549" s="3"/>
      <c r="D549" s="3"/>
      <c r="E549" s="5">
        <v>8.0399999999999991</v>
      </c>
      <c r="F549" s="403"/>
    </row>
    <row r="550" spans="1:6" s="1" customFormat="1" ht="15" x14ac:dyDescent="0.2">
      <c r="A550" s="380"/>
      <c r="B550" s="3" t="s">
        <v>223</v>
      </c>
      <c r="C550" s="3"/>
      <c r="D550" s="3"/>
      <c r="E550" s="5">
        <v>3.79</v>
      </c>
      <c r="F550" s="403"/>
    </row>
    <row r="551" spans="1:6" s="1" customFormat="1" ht="15" x14ac:dyDescent="0.2">
      <c r="A551" s="380"/>
      <c r="B551" s="3" t="s">
        <v>226</v>
      </c>
      <c r="C551" s="3"/>
      <c r="D551" s="3"/>
      <c r="E551" s="5">
        <v>2.5099999999999998</v>
      </c>
      <c r="F551" s="403"/>
    </row>
    <row r="552" spans="1:6" s="1" customFormat="1" ht="15" x14ac:dyDescent="0.2">
      <c r="A552" s="380"/>
      <c r="B552" s="3" t="s">
        <v>226</v>
      </c>
      <c r="C552" s="3"/>
      <c r="D552" s="3"/>
      <c r="E552" s="5">
        <v>2.5099999999999998</v>
      </c>
      <c r="F552" s="403"/>
    </row>
    <row r="553" spans="1:6" s="1" customFormat="1" ht="15" x14ac:dyDescent="0.2">
      <c r="A553" s="380"/>
      <c r="B553" s="3" t="s">
        <v>221</v>
      </c>
      <c r="C553" s="3"/>
      <c r="D553" s="3"/>
      <c r="E553" s="5">
        <v>40.04</v>
      </c>
      <c r="F553" s="403"/>
    </row>
    <row r="554" spans="1:6" s="1" customFormat="1" ht="15" x14ac:dyDescent="0.2">
      <c r="A554" s="380"/>
      <c r="B554" s="3" t="s">
        <v>311</v>
      </c>
      <c r="C554" s="3"/>
      <c r="D554" s="3"/>
      <c r="E554" s="5">
        <v>15.55</v>
      </c>
      <c r="F554" s="403"/>
    </row>
    <row r="555" spans="1:6" s="1" customFormat="1" ht="15" x14ac:dyDescent="0.2">
      <c r="A555" s="19"/>
      <c r="B555" s="50"/>
      <c r="C555" s="50"/>
      <c r="D555" s="50"/>
      <c r="E555" s="50"/>
      <c r="F555" s="61"/>
    </row>
    <row r="556" spans="1:6" ht="26.1" customHeight="1" x14ac:dyDescent="0.2">
      <c r="A556" s="59" t="s">
        <v>62</v>
      </c>
      <c r="B556" s="387" t="s">
        <v>63</v>
      </c>
      <c r="C556" s="387"/>
      <c r="D556" s="387"/>
      <c r="E556" s="7" t="s">
        <v>13</v>
      </c>
      <c r="F556" s="60">
        <f>F586</f>
        <v>134.095</v>
      </c>
    </row>
    <row r="557" spans="1:6" s="1" customFormat="1" ht="15" x14ac:dyDescent="0.2">
      <c r="A557" s="19"/>
      <c r="B557" s="50"/>
      <c r="C557" s="50"/>
      <c r="D557" s="50"/>
      <c r="E557" s="50"/>
      <c r="F557" s="61"/>
    </row>
    <row r="558" spans="1:6" s="1" customFormat="1" ht="15" x14ac:dyDescent="0.2">
      <c r="A558" s="63" t="s">
        <v>201</v>
      </c>
      <c r="B558" s="2" t="s">
        <v>186</v>
      </c>
      <c r="C558" s="2" t="s">
        <v>187</v>
      </c>
      <c r="D558" s="2" t="s">
        <v>188</v>
      </c>
      <c r="E558" s="2" t="s">
        <v>194</v>
      </c>
      <c r="F558" s="28" t="s">
        <v>195</v>
      </c>
    </row>
    <row r="559" spans="1:6" s="1" customFormat="1" ht="15" x14ac:dyDescent="0.2">
      <c r="A559" s="380" t="s">
        <v>199</v>
      </c>
      <c r="B559" s="3" t="s">
        <v>209</v>
      </c>
      <c r="C559" s="3"/>
      <c r="D559" s="3"/>
      <c r="E559" s="5">
        <v>10.17</v>
      </c>
      <c r="F559" s="403">
        <f>SUM(E559:E564)</f>
        <v>31.690000000000005</v>
      </c>
    </row>
    <row r="560" spans="1:6" s="1" customFormat="1" ht="15" x14ac:dyDescent="0.2">
      <c r="A560" s="380"/>
      <c r="B560" s="3" t="s">
        <v>210</v>
      </c>
      <c r="C560" s="3"/>
      <c r="D560" s="3"/>
      <c r="E560" s="5">
        <v>10.32</v>
      </c>
      <c r="F560" s="403"/>
    </row>
    <row r="561" spans="1:6" s="1" customFormat="1" ht="15" x14ac:dyDescent="0.2">
      <c r="A561" s="380"/>
      <c r="B561" s="3" t="s">
        <v>212</v>
      </c>
      <c r="C561" s="3"/>
      <c r="D561" s="3"/>
      <c r="E561" s="5">
        <v>1.48</v>
      </c>
      <c r="F561" s="403"/>
    </row>
    <row r="562" spans="1:6" s="1" customFormat="1" ht="15" x14ac:dyDescent="0.2">
      <c r="A562" s="380"/>
      <c r="B562" s="3" t="s">
        <v>212</v>
      </c>
      <c r="C562" s="3"/>
      <c r="D562" s="3"/>
      <c r="E562" s="5">
        <v>1.48</v>
      </c>
      <c r="F562" s="403"/>
    </row>
    <row r="563" spans="1:6" s="1" customFormat="1" ht="15" x14ac:dyDescent="0.2">
      <c r="A563" s="380"/>
      <c r="B563" s="3" t="s">
        <v>215</v>
      </c>
      <c r="C563" s="3"/>
      <c r="D563" s="3"/>
      <c r="E563" s="5">
        <v>4.12</v>
      </c>
      <c r="F563" s="403"/>
    </row>
    <row r="564" spans="1:6" s="1" customFormat="1" ht="15" x14ac:dyDescent="0.2">
      <c r="A564" s="380"/>
      <c r="B564" s="3" t="s">
        <v>216</v>
      </c>
      <c r="C564" s="3"/>
      <c r="D564" s="3"/>
      <c r="E564" s="5">
        <v>4.12</v>
      </c>
      <c r="F564" s="403"/>
    </row>
    <row r="565" spans="1:6" s="1" customFormat="1" ht="15" x14ac:dyDescent="0.2">
      <c r="A565" s="63" t="s">
        <v>201</v>
      </c>
      <c r="B565" s="2" t="s">
        <v>186</v>
      </c>
      <c r="C565" s="2" t="s">
        <v>192</v>
      </c>
      <c r="D565" s="2" t="s">
        <v>189</v>
      </c>
      <c r="E565" s="2" t="s">
        <v>194</v>
      </c>
      <c r="F565" s="28" t="s">
        <v>195</v>
      </c>
    </row>
    <row r="566" spans="1:6" s="1" customFormat="1" ht="15" x14ac:dyDescent="0.2">
      <c r="A566" s="380" t="s">
        <v>200</v>
      </c>
      <c r="B566" s="3" t="s">
        <v>212</v>
      </c>
      <c r="C566" s="3">
        <v>4.9000000000000004</v>
      </c>
      <c r="D566" s="3">
        <v>0.5</v>
      </c>
      <c r="E566" s="5">
        <f>C566*D566</f>
        <v>2.4500000000000002</v>
      </c>
      <c r="F566" s="405">
        <f>SUM(E566:E571)</f>
        <v>28.45</v>
      </c>
    </row>
    <row r="567" spans="1:6" s="1" customFormat="1" ht="15" x14ac:dyDescent="0.2">
      <c r="A567" s="380"/>
      <c r="B567" s="3" t="s">
        <v>212</v>
      </c>
      <c r="C567" s="3">
        <v>4.9000000000000004</v>
      </c>
      <c r="D567" s="3">
        <v>0.5</v>
      </c>
      <c r="E567" s="5">
        <f t="shared" ref="E567:E571" si="20">C567*D567</f>
        <v>2.4500000000000002</v>
      </c>
      <c r="F567" s="406"/>
    </row>
    <row r="568" spans="1:6" s="1" customFormat="1" ht="15" x14ac:dyDescent="0.2">
      <c r="A568" s="380"/>
      <c r="B568" s="3" t="s">
        <v>215</v>
      </c>
      <c r="C568" s="3">
        <v>8.65</v>
      </c>
      <c r="D568" s="3">
        <v>0.5</v>
      </c>
      <c r="E568" s="5">
        <f t="shared" si="20"/>
        <v>4.3250000000000002</v>
      </c>
      <c r="F568" s="406"/>
    </row>
    <row r="569" spans="1:6" s="1" customFormat="1" ht="15" x14ac:dyDescent="0.2">
      <c r="A569" s="380"/>
      <c r="B569" s="3" t="s">
        <v>216</v>
      </c>
      <c r="C569" s="3">
        <v>8.65</v>
      </c>
      <c r="D569" s="3">
        <v>0.5</v>
      </c>
      <c r="E569" s="5">
        <f t="shared" si="20"/>
        <v>4.3250000000000002</v>
      </c>
      <c r="F569" s="406"/>
    </row>
    <row r="570" spans="1:6" s="1" customFormat="1" ht="15" x14ac:dyDescent="0.2">
      <c r="A570" s="380"/>
      <c r="B570" s="3" t="s">
        <v>209</v>
      </c>
      <c r="C570" s="3">
        <v>13.9</v>
      </c>
      <c r="D570" s="3">
        <v>0.5</v>
      </c>
      <c r="E570" s="5">
        <f t="shared" si="20"/>
        <v>6.95</v>
      </c>
      <c r="F570" s="406"/>
    </row>
    <row r="571" spans="1:6" s="1" customFormat="1" ht="15" x14ac:dyDescent="0.2">
      <c r="A571" s="380"/>
      <c r="B571" s="3" t="s">
        <v>210</v>
      </c>
      <c r="C571" s="3">
        <f>15.9</f>
        <v>15.9</v>
      </c>
      <c r="D571" s="3">
        <v>0.5</v>
      </c>
      <c r="E571" s="5">
        <f t="shared" si="20"/>
        <v>7.95</v>
      </c>
      <c r="F571" s="407"/>
    </row>
    <row r="572" spans="1:6" s="1" customFormat="1" ht="15" x14ac:dyDescent="0.2">
      <c r="A572" s="19"/>
      <c r="B572" s="50"/>
      <c r="C572" s="50"/>
      <c r="D572" s="50"/>
      <c r="E572" s="50"/>
      <c r="F572" s="61"/>
    </row>
    <row r="573" spans="1:6" s="1" customFormat="1" ht="15" x14ac:dyDescent="0.2">
      <c r="A573" s="63" t="s">
        <v>219</v>
      </c>
      <c r="B573" s="2" t="s">
        <v>186</v>
      </c>
      <c r="C573" s="2" t="s">
        <v>187</v>
      </c>
      <c r="D573" s="2" t="s">
        <v>188</v>
      </c>
      <c r="E573" s="2" t="s">
        <v>194</v>
      </c>
      <c r="F573" s="28" t="s">
        <v>195</v>
      </c>
    </row>
    <row r="574" spans="1:6" s="1" customFormat="1" ht="15" x14ac:dyDescent="0.2">
      <c r="A574" s="380" t="s">
        <v>199</v>
      </c>
      <c r="B574" s="3" t="s">
        <v>209</v>
      </c>
      <c r="C574" s="3"/>
      <c r="D574" s="3"/>
      <c r="E574" s="5">
        <v>17.04</v>
      </c>
      <c r="F574" s="403">
        <f>SUM(E574:E578)</f>
        <v>43.04</v>
      </c>
    </row>
    <row r="575" spans="1:6" s="1" customFormat="1" ht="15" x14ac:dyDescent="0.2">
      <c r="A575" s="380"/>
      <c r="B575" s="3" t="s">
        <v>210</v>
      </c>
      <c r="C575" s="3"/>
      <c r="D575" s="3"/>
      <c r="E575" s="5">
        <v>17.190000000000001</v>
      </c>
      <c r="F575" s="403"/>
    </row>
    <row r="576" spans="1:6" s="1" customFormat="1" ht="15" x14ac:dyDescent="0.2">
      <c r="A576" s="380"/>
      <c r="B576" s="3" t="s">
        <v>223</v>
      </c>
      <c r="C576" s="3"/>
      <c r="D576" s="3"/>
      <c r="E576" s="5">
        <v>3.79</v>
      </c>
      <c r="F576" s="403"/>
    </row>
    <row r="577" spans="1:6" s="1" customFormat="1" ht="15" x14ac:dyDescent="0.2">
      <c r="A577" s="380"/>
      <c r="B577" s="3" t="s">
        <v>226</v>
      </c>
      <c r="C577" s="3"/>
      <c r="D577" s="3"/>
      <c r="E577" s="5">
        <v>2.5099999999999998</v>
      </c>
      <c r="F577" s="403"/>
    </row>
    <row r="578" spans="1:6" s="1" customFormat="1" ht="15" x14ac:dyDescent="0.2">
      <c r="A578" s="380"/>
      <c r="B578" s="3" t="s">
        <v>226</v>
      </c>
      <c r="C578" s="3"/>
      <c r="D578" s="3"/>
      <c r="E578" s="5">
        <v>2.5099999999999998</v>
      </c>
      <c r="F578" s="403"/>
    </row>
    <row r="579" spans="1:6" s="1" customFormat="1" ht="15" x14ac:dyDescent="0.2">
      <c r="A579" s="63" t="s">
        <v>219</v>
      </c>
      <c r="B579" s="2" t="s">
        <v>186</v>
      </c>
      <c r="C579" s="2" t="s">
        <v>192</v>
      </c>
      <c r="D579" s="2" t="s">
        <v>189</v>
      </c>
      <c r="E579" s="2" t="s">
        <v>194</v>
      </c>
      <c r="F579" s="28" t="s">
        <v>195</v>
      </c>
    </row>
    <row r="580" spans="1:6" s="1" customFormat="1" ht="15" x14ac:dyDescent="0.2">
      <c r="A580" s="380" t="s">
        <v>200</v>
      </c>
      <c r="B580" s="3" t="s">
        <v>215</v>
      </c>
      <c r="C580" s="3">
        <v>7.29</v>
      </c>
      <c r="D580" s="3">
        <v>0.5</v>
      </c>
      <c r="E580" s="5">
        <f>C580*D580</f>
        <v>3.645</v>
      </c>
      <c r="F580" s="405">
        <f>SUM(E580:E584)</f>
        <v>30.914999999999999</v>
      </c>
    </row>
    <row r="581" spans="1:6" s="1" customFormat="1" ht="15" x14ac:dyDescent="0.2">
      <c r="A581" s="380"/>
      <c r="B581" s="3" t="s">
        <v>226</v>
      </c>
      <c r="C581" s="3">
        <f>1.48*2+1.55*2</f>
        <v>6.0600000000000005</v>
      </c>
      <c r="D581" s="3">
        <v>0.5</v>
      </c>
      <c r="E581" s="5">
        <f t="shared" ref="E581:E584" si="21">C581*D581</f>
        <v>3.0300000000000002</v>
      </c>
      <c r="F581" s="406"/>
    </row>
    <row r="582" spans="1:6" s="1" customFormat="1" ht="15" x14ac:dyDescent="0.2">
      <c r="A582" s="380"/>
      <c r="B582" s="3" t="s">
        <v>226</v>
      </c>
      <c r="C582" s="3">
        <f>1.48*2+1.55*2</f>
        <v>6.0600000000000005</v>
      </c>
      <c r="D582" s="3">
        <v>0.5</v>
      </c>
      <c r="E582" s="5">
        <f t="shared" si="21"/>
        <v>3.0300000000000002</v>
      </c>
      <c r="F582" s="406"/>
    </row>
    <row r="583" spans="1:6" s="1" customFormat="1" ht="15" x14ac:dyDescent="0.2">
      <c r="A583" s="380"/>
      <c r="B583" s="3" t="s">
        <v>209</v>
      </c>
      <c r="C583" s="3">
        <f>0.9+8+2.38+6.15+1.63+2.15</f>
        <v>21.209999999999997</v>
      </c>
      <c r="D583" s="3">
        <v>0.5</v>
      </c>
      <c r="E583" s="5">
        <f t="shared" si="21"/>
        <v>10.604999999999999</v>
      </c>
      <c r="F583" s="406"/>
    </row>
    <row r="584" spans="1:6" s="1" customFormat="1" ht="15" x14ac:dyDescent="0.2">
      <c r="A584" s="380"/>
      <c r="B584" s="3" t="s">
        <v>210</v>
      </c>
      <c r="C584" s="3">
        <f>C583</f>
        <v>21.209999999999997</v>
      </c>
      <c r="D584" s="3">
        <v>0.5</v>
      </c>
      <c r="E584" s="5">
        <f t="shared" si="21"/>
        <v>10.604999999999999</v>
      </c>
      <c r="F584" s="407"/>
    </row>
    <row r="585" spans="1:6" s="1" customFormat="1" ht="15" x14ac:dyDescent="0.2">
      <c r="A585" s="67"/>
      <c r="B585" s="50"/>
      <c r="C585" s="50"/>
      <c r="D585" s="50"/>
      <c r="E585" s="45"/>
      <c r="F585" s="35"/>
    </row>
    <row r="586" spans="1:6" s="1" customFormat="1" ht="15" x14ac:dyDescent="0.2">
      <c r="A586" s="394" t="s">
        <v>227</v>
      </c>
      <c r="B586" s="395"/>
      <c r="C586" s="395"/>
      <c r="D586" s="395"/>
      <c r="E586" s="395"/>
      <c r="F586" s="31">
        <f>F559+F566+F574+F580</f>
        <v>134.095</v>
      </c>
    </row>
    <row r="587" spans="1:6" s="1" customFormat="1" ht="15" x14ac:dyDescent="0.2">
      <c r="A587" s="19"/>
      <c r="B587" s="50"/>
      <c r="C587" s="50"/>
      <c r="D587" s="50"/>
      <c r="E587" s="50"/>
      <c r="F587" s="61"/>
    </row>
    <row r="588" spans="1:6" ht="26.1" customHeight="1" x14ac:dyDescent="0.2">
      <c r="A588" s="59" t="s">
        <v>64</v>
      </c>
      <c r="B588" s="387" t="s">
        <v>51</v>
      </c>
      <c r="C588" s="387"/>
      <c r="D588" s="387"/>
      <c r="E588" s="7" t="s">
        <v>13</v>
      </c>
      <c r="F588" s="60">
        <f>F632</f>
        <v>1205.1299999999999</v>
      </c>
    </row>
    <row r="589" spans="1:6" s="1" customFormat="1" ht="15" x14ac:dyDescent="0.2">
      <c r="A589" s="19"/>
      <c r="B589" s="50"/>
      <c r="C589" s="50"/>
      <c r="D589" s="50"/>
      <c r="E589" s="50"/>
      <c r="F589" s="61"/>
    </row>
    <row r="590" spans="1:6" s="1" customFormat="1" ht="15" x14ac:dyDescent="0.2">
      <c r="A590" s="63" t="s">
        <v>201</v>
      </c>
      <c r="B590" s="2" t="s">
        <v>186</v>
      </c>
      <c r="C590" s="2" t="s">
        <v>187</v>
      </c>
      <c r="D590" s="2" t="s">
        <v>188</v>
      </c>
      <c r="E590" s="2" t="s">
        <v>194</v>
      </c>
      <c r="F590" s="28" t="s">
        <v>195</v>
      </c>
    </row>
    <row r="591" spans="1:6" s="1" customFormat="1" ht="15" x14ac:dyDescent="0.2">
      <c r="A591" s="381" t="s">
        <v>199</v>
      </c>
      <c r="B591" s="3" t="s">
        <v>202</v>
      </c>
      <c r="C591" s="3"/>
      <c r="D591" s="3"/>
      <c r="E591" s="5">
        <v>40.76</v>
      </c>
      <c r="F591" s="405">
        <f>SUM(E591:E610)</f>
        <v>622.22</v>
      </c>
    </row>
    <row r="592" spans="1:6" s="1" customFormat="1" ht="15" x14ac:dyDescent="0.2">
      <c r="A592" s="382"/>
      <c r="B592" s="3" t="s">
        <v>203</v>
      </c>
      <c r="C592" s="3"/>
      <c r="D592" s="3"/>
      <c r="E592" s="5">
        <v>40</v>
      </c>
      <c r="F592" s="406"/>
    </row>
    <row r="593" spans="1:6" s="1" customFormat="1" ht="15" x14ac:dyDescent="0.2">
      <c r="A593" s="382"/>
      <c r="B593" s="3" t="s">
        <v>204</v>
      </c>
      <c r="C593" s="3"/>
      <c r="D593" s="3"/>
      <c r="E593" s="5">
        <v>40</v>
      </c>
      <c r="F593" s="406"/>
    </row>
    <row r="594" spans="1:6" s="1" customFormat="1" ht="15" x14ac:dyDescent="0.2">
      <c r="A594" s="382"/>
      <c r="B594" s="3" t="s">
        <v>205</v>
      </c>
      <c r="C594" s="3"/>
      <c r="D594" s="3"/>
      <c r="E594" s="5">
        <v>39.200000000000003</v>
      </c>
      <c r="F594" s="406"/>
    </row>
    <row r="595" spans="1:6" s="1" customFormat="1" ht="15" x14ac:dyDescent="0.2">
      <c r="A595" s="382"/>
      <c r="B595" s="3" t="s">
        <v>206</v>
      </c>
      <c r="C595" s="3"/>
      <c r="D595" s="3"/>
      <c r="E595" s="5">
        <v>39.89</v>
      </c>
      <c r="F595" s="406"/>
    </row>
    <row r="596" spans="1:6" s="1" customFormat="1" ht="15" x14ac:dyDescent="0.2">
      <c r="A596" s="382"/>
      <c r="B596" s="3" t="s">
        <v>207</v>
      </c>
      <c r="C596" s="3"/>
      <c r="D596" s="3"/>
      <c r="E596" s="5">
        <v>39.159999999999997</v>
      </c>
      <c r="F596" s="406"/>
    </row>
    <row r="597" spans="1:6" s="1" customFormat="1" ht="15" x14ac:dyDescent="0.2">
      <c r="A597" s="382"/>
      <c r="B597" s="3" t="s">
        <v>308</v>
      </c>
      <c r="C597" s="3"/>
      <c r="D597" s="3"/>
      <c r="E597" s="5">
        <f>29.58</f>
        <v>29.58</v>
      </c>
      <c r="F597" s="406"/>
    </row>
    <row r="598" spans="1:6" s="1" customFormat="1" ht="25.5" x14ac:dyDescent="0.2">
      <c r="A598" s="382"/>
      <c r="B598" s="3" t="s">
        <v>318</v>
      </c>
      <c r="C598" s="3"/>
      <c r="D598" s="3"/>
      <c r="E598" s="5">
        <f>39.2</f>
        <v>39.200000000000003</v>
      </c>
      <c r="F598" s="406"/>
    </row>
    <row r="599" spans="1:6" s="1" customFormat="1" ht="15" x14ac:dyDescent="0.2">
      <c r="A599" s="382"/>
      <c r="B599" s="3" t="s">
        <v>208</v>
      </c>
      <c r="C599" s="3"/>
      <c r="D599" s="3"/>
      <c r="E599" s="5">
        <f>165.31-29.58</f>
        <v>135.73000000000002</v>
      </c>
      <c r="F599" s="406"/>
    </row>
    <row r="600" spans="1:6" s="1" customFormat="1" ht="15" x14ac:dyDescent="0.2">
      <c r="A600" s="382"/>
      <c r="B600" s="3" t="s">
        <v>209</v>
      </c>
      <c r="C600" s="3"/>
      <c r="D600" s="3"/>
      <c r="E600" s="5">
        <v>10.17</v>
      </c>
      <c r="F600" s="406"/>
    </row>
    <row r="601" spans="1:6" s="1" customFormat="1" ht="15" x14ac:dyDescent="0.2">
      <c r="A601" s="382"/>
      <c r="B601" s="3" t="s">
        <v>210</v>
      </c>
      <c r="C601" s="3"/>
      <c r="D601" s="3"/>
      <c r="E601" s="5">
        <v>10.32</v>
      </c>
      <c r="F601" s="406"/>
    </row>
    <row r="602" spans="1:6" s="1" customFormat="1" ht="15" x14ac:dyDescent="0.2">
      <c r="A602" s="382"/>
      <c r="B602" s="3" t="s">
        <v>211</v>
      </c>
      <c r="C602" s="3"/>
      <c r="D602" s="3"/>
      <c r="E602" s="5">
        <v>11.92</v>
      </c>
      <c r="F602" s="406"/>
    </row>
    <row r="603" spans="1:6" s="1" customFormat="1" ht="15" x14ac:dyDescent="0.2">
      <c r="A603" s="382"/>
      <c r="B603" s="3" t="s">
        <v>212</v>
      </c>
      <c r="C603" s="3"/>
      <c r="D603" s="3"/>
      <c r="E603" s="5">
        <v>1.48</v>
      </c>
      <c r="F603" s="406"/>
    </row>
    <row r="604" spans="1:6" s="1" customFormat="1" ht="15" x14ac:dyDescent="0.2">
      <c r="A604" s="382"/>
      <c r="B604" s="3" t="s">
        <v>212</v>
      </c>
      <c r="C604" s="3"/>
      <c r="D604" s="3"/>
      <c r="E604" s="5">
        <v>1.48</v>
      </c>
      <c r="F604" s="406"/>
    </row>
    <row r="605" spans="1:6" s="1" customFormat="1" ht="15" x14ac:dyDescent="0.2">
      <c r="A605" s="382"/>
      <c r="B605" s="3" t="s">
        <v>213</v>
      </c>
      <c r="C605" s="3"/>
      <c r="D605" s="3"/>
      <c r="E605" s="5">
        <v>10.23</v>
      </c>
      <c r="F605" s="406"/>
    </row>
    <row r="606" spans="1:6" s="1" customFormat="1" ht="15" x14ac:dyDescent="0.2">
      <c r="A606" s="382"/>
      <c r="B606" s="3" t="s">
        <v>214</v>
      </c>
      <c r="C606" s="3"/>
      <c r="D606" s="3"/>
      <c r="E606" s="5">
        <v>18</v>
      </c>
      <c r="F606" s="406"/>
    </row>
    <row r="607" spans="1:6" s="1" customFormat="1" ht="15" x14ac:dyDescent="0.2">
      <c r="A607" s="382"/>
      <c r="B607" s="3" t="s">
        <v>215</v>
      </c>
      <c r="C607" s="3"/>
      <c r="D607" s="3"/>
      <c r="E607" s="5">
        <v>4.12</v>
      </c>
      <c r="F607" s="406"/>
    </row>
    <row r="608" spans="1:6" s="1" customFormat="1" ht="15" x14ac:dyDescent="0.2">
      <c r="A608" s="382"/>
      <c r="B608" s="3" t="s">
        <v>216</v>
      </c>
      <c r="C608" s="3"/>
      <c r="D608" s="3"/>
      <c r="E608" s="5">
        <v>4.12</v>
      </c>
      <c r="F608" s="406"/>
    </row>
    <row r="609" spans="1:6" s="1" customFormat="1" ht="15" x14ac:dyDescent="0.2">
      <c r="A609" s="382"/>
      <c r="B609" s="3" t="s">
        <v>221</v>
      </c>
      <c r="C609" s="3"/>
      <c r="D609" s="3"/>
      <c r="E609" s="5">
        <f>51.26</f>
        <v>51.26</v>
      </c>
      <c r="F609" s="406"/>
    </row>
    <row r="610" spans="1:6" s="1" customFormat="1" ht="15" x14ac:dyDescent="0.2">
      <c r="A610" s="383"/>
      <c r="B610" s="3" t="s">
        <v>217</v>
      </c>
      <c r="C610" s="3"/>
      <c r="D610" s="3"/>
      <c r="E610" s="5">
        <v>55.6</v>
      </c>
      <c r="F610" s="407"/>
    </row>
    <row r="611" spans="1:6" s="1" customFormat="1" ht="15" x14ac:dyDescent="0.2">
      <c r="A611" s="19"/>
      <c r="B611" s="50"/>
      <c r="C611" s="50"/>
      <c r="D611" s="50"/>
      <c r="E611" s="50"/>
      <c r="F611" s="61"/>
    </row>
    <row r="612" spans="1:6" s="1" customFormat="1" ht="15" x14ac:dyDescent="0.2">
      <c r="A612" s="63" t="s">
        <v>219</v>
      </c>
      <c r="B612" s="2" t="s">
        <v>186</v>
      </c>
      <c r="C612" s="2" t="s">
        <v>187</v>
      </c>
      <c r="D612" s="2" t="s">
        <v>188</v>
      </c>
      <c r="E612" s="2" t="s">
        <v>194</v>
      </c>
      <c r="F612" s="28" t="s">
        <v>195</v>
      </c>
    </row>
    <row r="613" spans="1:6" s="1" customFormat="1" ht="15" x14ac:dyDescent="0.2">
      <c r="A613" s="380" t="s">
        <v>199</v>
      </c>
      <c r="B613" s="3" t="s">
        <v>202</v>
      </c>
      <c r="C613" s="3"/>
      <c r="D613" s="3"/>
      <c r="E613" s="5">
        <v>39.200000000000003</v>
      </c>
      <c r="F613" s="403">
        <f>SUM(E613:E630)</f>
        <v>582.90999999999985</v>
      </c>
    </row>
    <row r="614" spans="1:6" s="1" customFormat="1" ht="15" x14ac:dyDescent="0.2">
      <c r="A614" s="380"/>
      <c r="B614" s="3" t="s">
        <v>203</v>
      </c>
      <c r="C614" s="3"/>
      <c r="D614" s="3"/>
      <c r="E614" s="5">
        <v>39.200000000000003</v>
      </c>
      <c r="F614" s="403"/>
    </row>
    <row r="615" spans="1:6" s="1" customFormat="1" ht="15" x14ac:dyDescent="0.2">
      <c r="A615" s="380"/>
      <c r="B615" s="3" t="s">
        <v>204</v>
      </c>
      <c r="C615" s="3"/>
      <c r="D615" s="3"/>
      <c r="E615" s="5">
        <v>40.799999999999997</v>
      </c>
      <c r="F615" s="403"/>
    </row>
    <row r="616" spans="1:6" s="1" customFormat="1" ht="15" x14ac:dyDescent="0.2">
      <c r="A616" s="380"/>
      <c r="B616" s="3" t="s">
        <v>205</v>
      </c>
      <c r="C616" s="3"/>
      <c r="D616" s="3"/>
      <c r="E616" s="5">
        <v>40.799999999999997</v>
      </c>
      <c r="F616" s="403"/>
    </row>
    <row r="617" spans="1:6" s="1" customFormat="1" ht="15" x14ac:dyDescent="0.2">
      <c r="A617" s="380"/>
      <c r="B617" s="3" t="s">
        <v>206</v>
      </c>
      <c r="C617" s="3"/>
      <c r="D617" s="3"/>
      <c r="E617" s="5">
        <v>39.96</v>
      </c>
      <c r="F617" s="403"/>
    </row>
    <row r="618" spans="1:6" s="1" customFormat="1" ht="15" x14ac:dyDescent="0.2">
      <c r="A618" s="380"/>
      <c r="B618" s="3" t="s">
        <v>207</v>
      </c>
      <c r="C618" s="3"/>
      <c r="D618" s="3"/>
      <c r="E618" s="5">
        <v>39.96</v>
      </c>
      <c r="F618" s="403"/>
    </row>
    <row r="619" spans="1:6" s="1" customFormat="1" ht="15" x14ac:dyDescent="0.2">
      <c r="A619" s="380"/>
      <c r="B619" s="3" t="s">
        <v>308</v>
      </c>
      <c r="C619" s="3"/>
      <c r="D619" s="3"/>
      <c r="E619" s="5">
        <v>40</v>
      </c>
      <c r="F619" s="403"/>
    </row>
    <row r="620" spans="1:6" s="1" customFormat="1" ht="15" x14ac:dyDescent="0.2">
      <c r="A620" s="380"/>
      <c r="B620" s="3" t="s">
        <v>309</v>
      </c>
      <c r="C620" s="3"/>
      <c r="D620" s="3"/>
      <c r="E620" s="5">
        <v>40.25</v>
      </c>
      <c r="F620" s="403"/>
    </row>
    <row r="621" spans="1:6" s="1" customFormat="1" ht="15" x14ac:dyDescent="0.2">
      <c r="A621" s="380"/>
      <c r="B621" s="3" t="s">
        <v>208</v>
      </c>
      <c r="C621" s="3"/>
      <c r="D621" s="3"/>
      <c r="E621" s="5">
        <v>116.27</v>
      </c>
      <c r="F621" s="403"/>
    </row>
    <row r="622" spans="1:6" s="1" customFormat="1" ht="15" x14ac:dyDescent="0.2">
      <c r="A622" s="380"/>
      <c r="B622" s="3" t="s">
        <v>209</v>
      </c>
      <c r="C622" s="3"/>
      <c r="D622" s="3"/>
      <c r="E622" s="5">
        <v>17.04</v>
      </c>
      <c r="F622" s="403"/>
    </row>
    <row r="623" spans="1:6" s="1" customFormat="1" ht="15" x14ac:dyDescent="0.2">
      <c r="A623" s="380"/>
      <c r="B623" s="3" t="s">
        <v>210</v>
      </c>
      <c r="C623" s="3"/>
      <c r="D623" s="3"/>
      <c r="E623" s="5">
        <v>17.190000000000001</v>
      </c>
      <c r="F623" s="403"/>
    </row>
    <row r="624" spans="1:6" s="1" customFormat="1" ht="25.5" x14ac:dyDescent="0.2">
      <c r="A624" s="380"/>
      <c r="B624" s="3" t="s">
        <v>220</v>
      </c>
      <c r="C624" s="3"/>
      <c r="D624" s="3"/>
      <c r="E624" s="5">
        <v>39.799999999999997</v>
      </c>
      <c r="F624" s="403"/>
    </row>
    <row r="625" spans="1:6" s="1" customFormat="1" ht="15" x14ac:dyDescent="0.2">
      <c r="A625" s="380"/>
      <c r="B625" s="3" t="s">
        <v>222</v>
      </c>
      <c r="C625" s="3"/>
      <c r="D625" s="3"/>
      <c r="E625" s="5">
        <v>8.0399999999999991</v>
      </c>
      <c r="F625" s="403"/>
    </row>
    <row r="626" spans="1:6" s="1" customFormat="1" ht="15" x14ac:dyDescent="0.2">
      <c r="A626" s="380"/>
      <c r="B626" s="3" t="s">
        <v>223</v>
      </c>
      <c r="C626" s="3"/>
      <c r="D626" s="3"/>
      <c r="E626" s="5">
        <v>3.79</v>
      </c>
      <c r="F626" s="403"/>
    </row>
    <row r="627" spans="1:6" s="1" customFormat="1" ht="15" x14ac:dyDescent="0.2">
      <c r="A627" s="380"/>
      <c r="B627" s="3" t="s">
        <v>226</v>
      </c>
      <c r="C627" s="3"/>
      <c r="D627" s="3"/>
      <c r="E627" s="5">
        <v>2.5099999999999998</v>
      </c>
      <c r="F627" s="403"/>
    </row>
    <row r="628" spans="1:6" s="1" customFormat="1" ht="15" x14ac:dyDescent="0.2">
      <c r="A628" s="380"/>
      <c r="B628" s="3" t="s">
        <v>226</v>
      </c>
      <c r="C628" s="3"/>
      <c r="D628" s="3"/>
      <c r="E628" s="5">
        <v>2.5099999999999998</v>
      </c>
      <c r="F628" s="403"/>
    </row>
    <row r="629" spans="1:6" s="1" customFormat="1" ht="15" x14ac:dyDescent="0.2">
      <c r="A629" s="380"/>
      <c r="B629" s="3" t="s">
        <v>221</v>
      </c>
      <c r="C629" s="3"/>
      <c r="D629" s="3"/>
      <c r="E629" s="5">
        <v>40.04</v>
      </c>
      <c r="F629" s="403"/>
    </row>
    <row r="630" spans="1:6" s="1" customFormat="1" ht="15" x14ac:dyDescent="0.2">
      <c r="A630" s="380"/>
      <c r="B630" s="3" t="s">
        <v>311</v>
      </c>
      <c r="C630" s="3"/>
      <c r="D630" s="3"/>
      <c r="E630" s="5">
        <v>15.55</v>
      </c>
      <c r="F630" s="403"/>
    </row>
    <row r="631" spans="1:6" s="1" customFormat="1" ht="15" x14ac:dyDescent="0.2">
      <c r="A631" s="67"/>
      <c r="B631" s="50"/>
      <c r="C631" s="50"/>
      <c r="D631" s="50"/>
      <c r="E631" s="45"/>
      <c r="F631" s="35"/>
    </row>
    <row r="632" spans="1:6" s="1" customFormat="1" ht="15" x14ac:dyDescent="0.2">
      <c r="A632" s="394" t="s">
        <v>227</v>
      </c>
      <c r="B632" s="395"/>
      <c r="C632" s="395"/>
      <c r="D632" s="395"/>
      <c r="E632" s="395"/>
      <c r="F632" s="31">
        <f>F591+F613</f>
        <v>1205.1299999999999</v>
      </c>
    </row>
    <row r="633" spans="1:6" s="1" customFormat="1" ht="15" x14ac:dyDescent="0.2">
      <c r="A633" s="19"/>
      <c r="B633" s="50"/>
      <c r="C633" s="50"/>
      <c r="D633" s="50"/>
      <c r="E633" s="50"/>
      <c r="F633" s="61"/>
    </row>
    <row r="634" spans="1:6" ht="26.1" customHeight="1" x14ac:dyDescent="0.2">
      <c r="A634" s="59" t="s">
        <v>317</v>
      </c>
      <c r="B634" s="387" t="s">
        <v>65</v>
      </c>
      <c r="C634" s="387"/>
      <c r="D634" s="387"/>
      <c r="E634" s="7" t="s">
        <v>10</v>
      </c>
      <c r="F634" s="60">
        <f>F646</f>
        <v>231.63</v>
      </c>
    </row>
    <row r="635" spans="1:6" s="1" customFormat="1" ht="15" x14ac:dyDescent="0.2">
      <c r="A635" s="19"/>
      <c r="B635" s="50"/>
      <c r="C635" s="50"/>
      <c r="D635" s="50"/>
      <c r="E635" s="50"/>
      <c r="F635" s="61"/>
    </row>
    <row r="636" spans="1:6" s="1" customFormat="1" ht="15" x14ac:dyDescent="0.2">
      <c r="A636" s="63" t="s">
        <v>201</v>
      </c>
      <c r="B636" s="2" t="s">
        <v>186</v>
      </c>
      <c r="C636" s="2" t="s">
        <v>312</v>
      </c>
      <c r="D636" s="2" t="s">
        <v>313</v>
      </c>
      <c r="E636" s="43"/>
      <c r="F636" s="33"/>
    </row>
    <row r="637" spans="1:6" s="1" customFormat="1" ht="15" x14ac:dyDescent="0.2">
      <c r="A637" s="382" t="s">
        <v>314</v>
      </c>
      <c r="B637" s="3" t="s">
        <v>208</v>
      </c>
      <c r="C637" s="3">
        <v>50.22</v>
      </c>
      <c r="D637" s="401">
        <f>SUM(C637:C639)</f>
        <v>121.82</v>
      </c>
      <c r="E637" s="45"/>
      <c r="F637" s="400"/>
    </row>
    <row r="638" spans="1:6" s="1" customFormat="1" ht="15" x14ac:dyDescent="0.2">
      <c r="A638" s="382"/>
      <c r="B638" s="3" t="s">
        <v>221</v>
      </c>
      <c r="C638" s="3">
        <f>19.23+3.85+4.35+1.87+4.14+19.23</f>
        <v>52.67</v>
      </c>
      <c r="D638" s="401"/>
      <c r="E638" s="45"/>
      <c r="F638" s="400"/>
    </row>
    <row r="639" spans="1:6" s="1" customFormat="1" ht="15" x14ac:dyDescent="0.2">
      <c r="A639" s="383"/>
      <c r="B639" s="3" t="s">
        <v>217</v>
      </c>
      <c r="C639" s="3">
        <f>0.81+3.67+5+0.9+2.85+4.2+1.5</f>
        <v>18.93</v>
      </c>
      <c r="D639" s="401"/>
      <c r="E639" s="45"/>
      <c r="F639" s="400"/>
    </row>
    <row r="640" spans="1:6" s="1" customFormat="1" ht="15" x14ac:dyDescent="0.2">
      <c r="A640" s="19"/>
      <c r="B640" s="50"/>
      <c r="C640" s="50"/>
      <c r="D640" s="50"/>
      <c r="E640" s="50"/>
      <c r="F640" s="61"/>
    </row>
    <row r="641" spans="1:6" s="1" customFormat="1" ht="15" x14ac:dyDescent="0.2">
      <c r="A641" s="63" t="s">
        <v>219</v>
      </c>
      <c r="B641" s="2" t="s">
        <v>186</v>
      </c>
      <c r="C641" s="2" t="s">
        <v>312</v>
      </c>
      <c r="D641" s="2" t="s">
        <v>313</v>
      </c>
      <c r="E641" s="43"/>
      <c r="F641" s="33"/>
    </row>
    <row r="642" spans="1:6" s="1" customFormat="1" ht="15" x14ac:dyDescent="0.2">
      <c r="A642" s="382" t="s">
        <v>314</v>
      </c>
      <c r="B642" s="15" t="s">
        <v>208</v>
      </c>
      <c r="C642" s="3">
        <v>47.4</v>
      </c>
      <c r="D642" s="401">
        <f>SUM(C642:C644)</f>
        <v>109.81</v>
      </c>
      <c r="E642" s="78"/>
      <c r="F642" s="400"/>
    </row>
    <row r="643" spans="1:6" s="1" customFormat="1" ht="15" x14ac:dyDescent="0.2">
      <c r="A643" s="382"/>
      <c r="B643" s="3" t="s">
        <v>221</v>
      </c>
      <c r="C643" s="3">
        <f>20.57*2+3+1.86</f>
        <v>46</v>
      </c>
      <c r="D643" s="401"/>
      <c r="E643" s="45"/>
      <c r="F643" s="400"/>
    </row>
    <row r="644" spans="1:6" s="1" customFormat="1" ht="15" x14ac:dyDescent="0.2">
      <c r="A644" s="383"/>
      <c r="B644" s="3" t="s">
        <v>311</v>
      </c>
      <c r="C644" s="3">
        <v>16.41</v>
      </c>
      <c r="D644" s="401"/>
      <c r="E644" s="45"/>
      <c r="F644" s="400"/>
    </row>
    <row r="645" spans="1:6" s="1" customFormat="1" ht="15" x14ac:dyDescent="0.2">
      <c r="A645" s="67"/>
      <c r="B645" s="50"/>
      <c r="C645" s="50"/>
      <c r="D645" s="50"/>
      <c r="E645" s="45"/>
      <c r="F645" s="35"/>
    </row>
    <row r="646" spans="1:6" s="1" customFormat="1" ht="15" x14ac:dyDescent="0.2">
      <c r="A646" s="394" t="s">
        <v>227</v>
      </c>
      <c r="B646" s="395"/>
      <c r="C646" s="395"/>
      <c r="D646" s="395"/>
      <c r="E646" s="395"/>
      <c r="F646" s="31">
        <f>D637+D642</f>
        <v>231.63</v>
      </c>
    </row>
    <row r="647" spans="1:6" s="1" customFormat="1" ht="15" x14ac:dyDescent="0.2">
      <c r="A647" s="19"/>
      <c r="B647" s="50"/>
      <c r="C647" s="50"/>
      <c r="D647" s="50"/>
      <c r="E647" s="50"/>
      <c r="F647" s="61"/>
    </row>
    <row r="648" spans="1:6" ht="24" customHeight="1" x14ac:dyDescent="0.2">
      <c r="A648" s="57" t="s">
        <v>66</v>
      </c>
      <c r="B648" s="388" t="s">
        <v>67</v>
      </c>
      <c r="C648" s="388"/>
      <c r="D648" s="388"/>
      <c r="E648" s="6"/>
      <c r="F648" s="58">
        <v>1</v>
      </c>
    </row>
    <row r="649" spans="1:6" ht="104.1" customHeight="1" x14ac:dyDescent="0.2">
      <c r="A649" s="59" t="s">
        <v>68</v>
      </c>
      <c r="B649" s="387" t="s">
        <v>69</v>
      </c>
      <c r="C649" s="387"/>
      <c r="D649" s="387"/>
      <c r="E649" s="7" t="s">
        <v>13</v>
      </c>
      <c r="F649" s="60">
        <f>F693</f>
        <v>1205.1299999999999</v>
      </c>
    </row>
    <row r="650" spans="1:6" s="1" customFormat="1" ht="15" x14ac:dyDescent="0.2">
      <c r="A650" s="19"/>
      <c r="B650" s="50"/>
      <c r="C650" s="50"/>
      <c r="D650" s="50"/>
      <c r="E650" s="50"/>
      <c r="F650" s="61"/>
    </row>
    <row r="651" spans="1:6" s="1" customFormat="1" ht="15" x14ac:dyDescent="0.2">
      <c r="A651" s="63" t="s">
        <v>201</v>
      </c>
      <c r="B651" s="2" t="s">
        <v>186</v>
      </c>
      <c r="C651" s="2" t="s">
        <v>187</v>
      </c>
      <c r="D651" s="2" t="s">
        <v>188</v>
      </c>
      <c r="E651" s="2" t="s">
        <v>194</v>
      </c>
      <c r="F651" s="28" t="s">
        <v>195</v>
      </c>
    </row>
    <row r="652" spans="1:6" s="1" customFormat="1" ht="15" x14ac:dyDescent="0.2">
      <c r="A652" s="381" t="s">
        <v>199</v>
      </c>
      <c r="B652" s="3" t="s">
        <v>202</v>
      </c>
      <c r="C652" s="3"/>
      <c r="D652" s="3"/>
      <c r="E652" s="5">
        <v>40.76</v>
      </c>
      <c r="F652" s="405">
        <f>SUM(E652:E671)</f>
        <v>622.22</v>
      </c>
    </row>
    <row r="653" spans="1:6" s="1" customFormat="1" ht="15" x14ac:dyDescent="0.2">
      <c r="A653" s="382"/>
      <c r="B653" s="3" t="s">
        <v>203</v>
      </c>
      <c r="C653" s="3"/>
      <c r="D653" s="3"/>
      <c r="E653" s="5">
        <v>40</v>
      </c>
      <c r="F653" s="406"/>
    </row>
    <row r="654" spans="1:6" s="1" customFormat="1" ht="15" x14ac:dyDescent="0.2">
      <c r="A654" s="382"/>
      <c r="B654" s="3" t="s">
        <v>204</v>
      </c>
      <c r="C654" s="3"/>
      <c r="D654" s="3"/>
      <c r="E654" s="5">
        <v>40</v>
      </c>
      <c r="F654" s="406"/>
    </row>
    <row r="655" spans="1:6" s="1" customFormat="1" ht="15" x14ac:dyDescent="0.2">
      <c r="A655" s="382"/>
      <c r="B655" s="3" t="s">
        <v>205</v>
      </c>
      <c r="C655" s="3"/>
      <c r="D655" s="3"/>
      <c r="E655" s="5">
        <v>39.200000000000003</v>
      </c>
      <c r="F655" s="406"/>
    </row>
    <row r="656" spans="1:6" s="1" customFormat="1" ht="15" x14ac:dyDescent="0.2">
      <c r="A656" s="382"/>
      <c r="B656" s="3" t="s">
        <v>206</v>
      </c>
      <c r="C656" s="3"/>
      <c r="D656" s="3"/>
      <c r="E656" s="5">
        <v>39.89</v>
      </c>
      <c r="F656" s="406"/>
    </row>
    <row r="657" spans="1:6" s="1" customFormat="1" ht="15" x14ac:dyDescent="0.2">
      <c r="A657" s="382"/>
      <c r="B657" s="3" t="s">
        <v>207</v>
      </c>
      <c r="C657" s="3"/>
      <c r="D657" s="3"/>
      <c r="E657" s="5">
        <v>39.159999999999997</v>
      </c>
      <c r="F657" s="406"/>
    </row>
    <row r="658" spans="1:6" s="1" customFormat="1" ht="15" x14ac:dyDescent="0.2">
      <c r="A658" s="382"/>
      <c r="B658" s="3" t="s">
        <v>308</v>
      </c>
      <c r="C658" s="3"/>
      <c r="D658" s="3"/>
      <c r="E658" s="5">
        <f>29.58</f>
        <v>29.58</v>
      </c>
      <c r="F658" s="406"/>
    </row>
    <row r="659" spans="1:6" s="1" customFormat="1" ht="25.5" x14ac:dyDescent="0.2">
      <c r="A659" s="382"/>
      <c r="B659" s="3" t="s">
        <v>318</v>
      </c>
      <c r="C659" s="3"/>
      <c r="D659" s="3"/>
      <c r="E659" s="5">
        <f>39.2</f>
        <v>39.200000000000003</v>
      </c>
      <c r="F659" s="406"/>
    </row>
    <row r="660" spans="1:6" s="1" customFormat="1" ht="15" x14ac:dyDescent="0.2">
      <c r="A660" s="382"/>
      <c r="B660" s="3" t="s">
        <v>208</v>
      </c>
      <c r="C660" s="3"/>
      <c r="D660" s="3"/>
      <c r="E660" s="5">
        <f>165.31-29.58</f>
        <v>135.73000000000002</v>
      </c>
      <c r="F660" s="406"/>
    </row>
    <row r="661" spans="1:6" s="1" customFormat="1" ht="15" x14ac:dyDescent="0.2">
      <c r="A661" s="382"/>
      <c r="B661" s="3" t="s">
        <v>209</v>
      </c>
      <c r="C661" s="3"/>
      <c r="D661" s="3"/>
      <c r="E661" s="5">
        <v>10.17</v>
      </c>
      <c r="F661" s="406"/>
    </row>
    <row r="662" spans="1:6" s="1" customFormat="1" ht="15" x14ac:dyDescent="0.2">
      <c r="A662" s="382"/>
      <c r="B662" s="3" t="s">
        <v>210</v>
      </c>
      <c r="C662" s="3"/>
      <c r="D662" s="3"/>
      <c r="E662" s="5">
        <v>10.32</v>
      </c>
      <c r="F662" s="406"/>
    </row>
    <row r="663" spans="1:6" s="1" customFormat="1" ht="15" x14ac:dyDescent="0.2">
      <c r="A663" s="382"/>
      <c r="B663" s="3" t="s">
        <v>211</v>
      </c>
      <c r="C663" s="3"/>
      <c r="D663" s="3"/>
      <c r="E663" s="5">
        <v>11.92</v>
      </c>
      <c r="F663" s="406"/>
    </row>
    <row r="664" spans="1:6" s="1" customFormat="1" ht="15" x14ac:dyDescent="0.2">
      <c r="A664" s="382"/>
      <c r="B664" s="3" t="s">
        <v>212</v>
      </c>
      <c r="C664" s="3"/>
      <c r="D664" s="3"/>
      <c r="E664" s="5">
        <v>1.48</v>
      </c>
      <c r="F664" s="406"/>
    </row>
    <row r="665" spans="1:6" s="1" customFormat="1" ht="15" x14ac:dyDescent="0.2">
      <c r="A665" s="382"/>
      <c r="B665" s="3" t="s">
        <v>212</v>
      </c>
      <c r="C665" s="3"/>
      <c r="D665" s="3"/>
      <c r="E665" s="5">
        <v>1.48</v>
      </c>
      <c r="F665" s="406"/>
    </row>
    <row r="666" spans="1:6" s="1" customFormat="1" ht="15" x14ac:dyDescent="0.2">
      <c r="A666" s="382"/>
      <c r="B666" s="3" t="s">
        <v>213</v>
      </c>
      <c r="C666" s="3"/>
      <c r="D666" s="3"/>
      <c r="E666" s="5">
        <v>10.23</v>
      </c>
      <c r="F666" s="406"/>
    </row>
    <row r="667" spans="1:6" s="1" customFormat="1" ht="15" x14ac:dyDescent="0.2">
      <c r="A667" s="382"/>
      <c r="B667" s="3" t="s">
        <v>214</v>
      </c>
      <c r="C667" s="3"/>
      <c r="D667" s="3"/>
      <c r="E667" s="5">
        <v>18</v>
      </c>
      <c r="F667" s="406"/>
    </row>
    <row r="668" spans="1:6" s="1" customFormat="1" ht="15" x14ac:dyDescent="0.2">
      <c r="A668" s="382"/>
      <c r="B668" s="3" t="s">
        <v>215</v>
      </c>
      <c r="C668" s="3"/>
      <c r="D668" s="3"/>
      <c r="E668" s="5">
        <v>4.12</v>
      </c>
      <c r="F668" s="406"/>
    </row>
    <row r="669" spans="1:6" s="1" customFormat="1" ht="15" x14ac:dyDescent="0.2">
      <c r="A669" s="382"/>
      <c r="B669" s="3" t="s">
        <v>216</v>
      </c>
      <c r="C669" s="3"/>
      <c r="D669" s="3"/>
      <c r="E669" s="5">
        <v>4.12</v>
      </c>
      <c r="F669" s="406"/>
    </row>
    <row r="670" spans="1:6" s="1" customFormat="1" ht="15" x14ac:dyDescent="0.2">
      <c r="A670" s="382"/>
      <c r="B670" s="3" t="s">
        <v>221</v>
      </c>
      <c r="C670" s="3"/>
      <c r="D670" s="3"/>
      <c r="E670" s="5">
        <f>51.26</f>
        <v>51.26</v>
      </c>
      <c r="F670" s="406"/>
    </row>
    <row r="671" spans="1:6" s="1" customFormat="1" ht="15" x14ac:dyDescent="0.2">
      <c r="A671" s="383"/>
      <c r="B671" s="3" t="s">
        <v>217</v>
      </c>
      <c r="C671" s="3"/>
      <c r="D671" s="3"/>
      <c r="E671" s="5">
        <v>55.6</v>
      </c>
      <c r="F671" s="407"/>
    </row>
    <row r="672" spans="1:6" s="1" customFormat="1" ht="15" x14ac:dyDescent="0.2">
      <c r="A672" s="19"/>
      <c r="B672" s="50"/>
      <c r="C672" s="50"/>
      <c r="D672" s="50"/>
      <c r="E672" s="50"/>
      <c r="F672" s="61"/>
    </row>
    <row r="673" spans="1:6" s="1" customFormat="1" ht="15" x14ac:dyDescent="0.2">
      <c r="A673" s="63" t="s">
        <v>219</v>
      </c>
      <c r="B673" s="2" t="s">
        <v>186</v>
      </c>
      <c r="C673" s="2" t="s">
        <v>187</v>
      </c>
      <c r="D673" s="2" t="s">
        <v>188</v>
      </c>
      <c r="E673" s="2" t="s">
        <v>194</v>
      </c>
      <c r="F673" s="28" t="s">
        <v>195</v>
      </c>
    </row>
    <row r="674" spans="1:6" s="1" customFormat="1" ht="15" x14ac:dyDescent="0.2">
      <c r="A674" s="380" t="s">
        <v>199</v>
      </c>
      <c r="B674" s="3" t="s">
        <v>202</v>
      </c>
      <c r="C674" s="3"/>
      <c r="D674" s="3"/>
      <c r="E674" s="5">
        <v>39.200000000000003</v>
      </c>
      <c r="F674" s="403">
        <f>SUM(E674:E691)</f>
        <v>582.90999999999985</v>
      </c>
    </row>
    <row r="675" spans="1:6" s="1" customFormat="1" ht="15" x14ac:dyDescent="0.2">
      <c r="A675" s="380"/>
      <c r="B675" s="3" t="s">
        <v>203</v>
      </c>
      <c r="C675" s="3"/>
      <c r="D675" s="3"/>
      <c r="E675" s="5">
        <v>39.200000000000003</v>
      </c>
      <c r="F675" s="403"/>
    </row>
    <row r="676" spans="1:6" s="1" customFormat="1" ht="15" x14ac:dyDescent="0.2">
      <c r="A676" s="380"/>
      <c r="B676" s="3" t="s">
        <v>204</v>
      </c>
      <c r="C676" s="3"/>
      <c r="D676" s="3"/>
      <c r="E676" s="5">
        <v>40.799999999999997</v>
      </c>
      <c r="F676" s="403"/>
    </row>
    <row r="677" spans="1:6" s="1" customFormat="1" ht="15" x14ac:dyDescent="0.2">
      <c r="A677" s="380"/>
      <c r="B677" s="3" t="s">
        <v>205</v>
      </c>
      <c r="C677" s="3"/>
      <c r="D677" s="3"/>
      <c r="E677" s="5">
        <v>40.799999999999997</v>
      </c>
      <c r="F677" s="403"/>
    </row>
    <row r="678" spans="1:6" s="1" customFormat="1" ht="15" x14ac:dyDescent="0.2">
      <c r="A678" s="380"/>
      <c r="B678" s="3" t="s">
        <v>206</v>
      </c>
      <c r="C678" s="3"/>
      <c r="D678" s="3"/>
      <c r="E678" s="5">
        <v>39.96</v>
      </c>
      <c r="F678" s="403"/>
    </row>
    <row r="679" spans="1:6" s="1" customFormat="1" ht="15" x14ac:dyDescent="0.2">
      <c r="A679" s="380"/>
      <c r="B679" s="3" t="s">
        <v>207</v>
      </c>
      <c r="C679" s="3"/>
      <c r="D679" s="3"/>
      <c r="E679" s="5">
        <v>39.96</v>
      </c>
      <c r="F679" s="403"/>
    </row>
    <row r="680" spans="1:6" s="1" customFormat="1" ht="15" x14ac:dyDescent="0.2">
      <c r="A680" s="380"/>
      <c r="B680" s="3" t="s">
        <v>308</v>
      </c>
      <c r="C680" s="3"/>
      <c r="D680" s="3"/>
      <c r="E680" s="5">
        <v>40</v>
      </c>
      <c r="F680" s="403"/>
    </row>
    <row r="681" spans="1:6" s="1" customFormat="1" ht="15" x14ac:dyDescent="0.2">
      <c r="A681" s="380"/>
      <c r="B681" s="3" t="s">
        <v>309</v>
      </c>
      <c r="C681" s="3"/>
      <c r="D681" s="3"/>
      <c r="E681" s="5">
        <v>40.25</v>
      </c>
      <c r="F681" s="403"/>
    </row>
    <row r="682" spans="1:6" s="1" customFormat="1" ht="15" x14ac:dyDescent="0.2">
      <c r="A682" s="380"/>
      <c r="B682" s="3" t="s">
        <v>208</v>
      </c>
      <c r="C682" s="3"/>
      <c r="D682" s="3"/>
      <c r="E682" s="5">
        <v>116.27</v>
      </c>
      <c r="F682" s="403"/>
    </row>
    <row r="683" spans="1:6" s="1" customFormat="1" ht="15" x14ac:dyDescent="0.2">
      <c r="A683" s="380"/>
      <c r="B683" s="3" t="s">
        <v>209</v>
      </c>
      <c r="C683" s="3"/>
      <c r="D683" s="3"/>
      <c r="E683" s="5">
        <v>17.04</v>
      </c>
      <c r="F683" s="403"/>
    </row>
    <row r="684" spans="1:6" s="1" customFormat="1" ht="15" x14ac:dyDescent="0.2">
      <c r="A684" s="380"/>
      <c r="B684" s="3" t="s">
        <v>210</v>
      </c>
      <c r="C684" s="3"/>
      <c r="D684" s="3"/>
      <c r="E684" s="5">
        <v>17.190000000000001</v>
      </c>
      <c r="F684" s="403"/>
    </row>
    <row r="685" spans="1:6" s="1" customFormat="1" ht="25.5" x14ac:dyDescent="0.2">
      <c r="A685" s="380"/>
      <c r="B685" s="3" t="s">
        <v>220</v>
      </c>
      <c r="C685" s="3"/>
      <c r="D685" s="3"/>
      <c r="E685" s="5">
        <v>39.799999999999997</v>
      </c>
      <c r="F685" s="403"/>
    </row>
    <row r="686" spans="1:6" s="1" customFormat="1" ht="15" x14ac:dyDescent="0.2">
      <c r="A686" s="380"/>
      <c r="B686" s="3" t="s">
        <v>222</v>
      </c>
      <c r="C686" s="3"/>
      <c r="D686" s="3"/>
      <c r="E686" s="5">
        <v>8.0399999999999991</v>
      </c>
      <c r="F686" s="403"/>
    </row>
    <row r="687" spans="1:6" s="1" customFormat="1" ht="15" x14ac:dyDescent="0.2">
      <c r="A687" s="380"/>
      <c r="B687" s="3" t="s">
        <v>223</v>
      </c>
      <c r="C687" s="3"/>
      <c r="D687" s="3"/>
      <c r="E687" s="5">
        <v>3.79</v>
      </c>
      <c r="F687" s="403"/>
    </row>
    <row r="688" spans="1:6" s="1" customFormat="1" ht="15" x14ac:dyDescent="0.2">
      <c r="A688" s="380"/>
      <c r="B688" s="3" t="s">
        <v>226</v>
      </c>
      <c r="C688" s="3"/>
      <c r="D688" s="3"/>
      <c r="E688" s="5">
        <v>2.5099999999999998</v>
      </c>
      <c r="F688" s="403"/>
    </row>
    <row r="689" spans="1:6" s="1" customFormat="1" ht="15" x14ac:dyDescent="0.2">
      <c r="A689" s="380"/>
      <c r="B689" s="3" t="s">
        <v>226</v>
      </c>
      <c r="C689" s="3"/>
      <c r="D689" s="3"/>
      <c r="E689" s="5">
        <v>2.5099999999999998</v>
      </c>
      <c r="F689" s="403"/>
    </row>
    <row r="690" spans="1:6" s="1" customFormat="1" ht="15" x14ac:dyDescent="0.2">
      <c r="A690" s="380"/>
      <c r="B690" s="3" t="s">
        <v>221</v>
      </c>
      <c r="C690" s="3"/>
      <c r="D690" s="3"/>
      <c r="E690" s="5">
        <v>40.04</v>
      </c>
      <c r="F690" s="403"/>
    </row>
    <row r="691" spans="1:6" s="1" customFormat="1" ht="15" x14ac:dyDescent="0.2">
      <c r="A691" s="380"/>
      <c r="B691" s="3" t="s">
        <v>311</v>
      </c>
      <c r="C691" s="3"/>
      <c r="D691" s="3"/>
      <c r="E691" s="5">
        <v>15.55</v>
      </c>
      <c r="F691" s="403"/>
    </row>
    <row r="692" spans="1:6" s="1" customFormat="1" ht="15" x14ac:dyDescent="0.2">
      <c r="A692" s="67"/>
      <c r="B692" s="50"/>
      <c r="C692" s="50"/>
      <c r="D692" s="50"/>
      <c r="E692" s="45"/>
      <c r="F692" s="35"/>
    </row>
    <row r="693" spans="1:6" s="1" customFormat="1" ht="15" x14ac:dyDescent="0.2">
      <c r="A693" s="394" t="s">
        <v>227</v>
      </c>
      <c r="B693" s="395"/>
      <c r="C693" s="395"/>
      <c r="D693" s="395"/>
      <c r="E693" s="395"/>
      <c r="F693" s="31">
        <f>F652+F674</f>
        <v>1205.1299999999999</v>
      </c>
    </row>
    <row r="694" spans="1:6" s="1" customFormat="1" ht="15" x14ac:dyDescent="0.2">
      <c r="A694" s="19"/>
      <c r="B694" s="50"/>
      <c r="C694" s="50"/>
      <c r="D694" s="50"/>
      <c r="E694" s="50"/>
      <c r="F694" s="61"/>
    </row>
    <row r="695" spans="1:6" ht="24" customHeight="1" x14ac:dyDescent="0.2">
      <c r="A695" s="57" t="s">
        <v>70</v>
      </c>
      <c r="B695" s="388" t="s">
        <v>71</v>
      </c>
      <c r="C695" s="388"/>
      <c r="D695" s="388"/>
      <c r="E695" s="6"/>
      <c r="F695" s="58"/>
    </row>
    <row r="696" spans="1:6" ht="26.1" customHeight="1" x14ac:dyDescent="0.2">
      <c r="A696" s="59" t="s">
        <v>72</v>
      </c>
      <c r="B696" s="387" t="s">
        <v>73</v>
      </c>
      <c r="C696" s="387"/>
      <c r="D696" s="387"/>
      <c r="E696" s="7" t="s">
        <v>13</v>
      </c>
      <c r="F696" s="60">
        <f>F704</f>
        <v>74.87</v>
      </c>
    </row>
    <row r="697" spans="1:6" s="1" customFormat="1" ht="15" x14ac:dyDescent="0.2">
      <c r="A697" s="19"/>
      <c r="B697" s="50"/>
      <c r="C697" s="50"/>
      <c r="D697" s="50"/>
      <c r="E697" s="50"/>
      <c r="F697" s="61"/>
    </row>
    <row r="698" spans="1:6" s="1" customFormat="1" ht="15" x14ac:dyDescent="0.2">
      <c r="A698" s="63" t="s">
        <v>201</v>
      </c>
      <c r="B698" s="2" t="s">
        <v>186</v>
      </c>
      <c r="C698" s="2" t="s">
        <v>192</v>
      </c>
      <c r="D698" s="2" t="s">
        <v>189</v>
      </c>
      <c r="E698" s="2" t="s">
        <v>194</v>
      </c>
      <c r="F698" s="28" t="s">
        <v>195</v>
      </c>
    </row>
    <row r="699" spans="1:6" s="1" customFormat="1" ht="15" x14ac:dyDescent="0.2">
      <c r="A699" s="66" t="s">
        <v>200</v>
      </c>
      <c r="B699" s="3" t="s">
        <v>218</v>
      </c>
      <c r="C699" s="3">
        <f>19.23*2</f>
        <v>38.46</v>
      </c>
      <c r="D699" s="3">
        <v>1</v>
      </c>
      <c r="E699" s="5">
        <f>C699*D699</f>
        <v>38.46</v>
      </c>
      <c r="F699" s="29">
        <f>SUM(E699:E699)</f>
        <v>38.46</v>
      </c>
    </row>
    <row r="700" spans="1:6" s="1" customFormat="1" ht="15" x14ac:dyDescent="0.2">
      <c r="A700" s="19"/>
      <c r="B700" s="50"/>
      <c r="C700" s="50"/>
      <c r="D700" s="50"/>
      <c r="E700" s="50"/>
      <c r="F700" s="61"/>
    </row>
    <row r="701" spans="1:6" s="1" customFormat="1" ht="15" x14ac:dyDescent="0.2">
      <c r="A701" s="63" t="s">
        <v>219</v>
      </c>
      <c r="B701" s="2" t="s">
        <v>186</v>
      </c>
      <c r="C701" s="2" t="s">
        <v>192</v>
      </c>
      <c r="D701" s="2" t="s">
        <v>189</v>
      </c>
      <c r="E701" s="2" t="s">
        <v>194</v>
      </c>
      <c r="F701" s="28" t="s">
        <v>195</v>
      </c>
    </row>
    <row r="702" spans="1:6" s="1" customFormat="1" ht="15" x14ac:dyDescent="0.2">
      <c r="A702" s="66" t="s">
        <v>200</v>
      </c>
      <c r="B702" s="3" t="s">
        <v>218</v>
      </c>
      <c r="C702" s="3">
        <f>4.02+4.25+4.35+4.28+(4.28+4.35+4.05+6.13+0.35*2)</f>
        <v>36.409999999999997</v>
      </c>
      <c r="D702" s="3">
        <v>1</v>
      </c>
      <c r="E702" s="5">
        <f>C702*D702</f>
        <v>36.409999999999997</v>
      </c>
      <c r="F702" s="29">
        <f>SUM(E702:E702)</f>
        <v>36.409999999999997</v>
      </c>
    </row>
    <row r="703" spans="1:6" s="1" customFormat="1" ht="15" x14ac:dyDescent="0.2">
      <c r="A703" s="67"/>
      <c r="B703" s="50"/>
      <c r="C703" s="50"/>
      <c r="D703" s="50"/>
      <c r="E703" s="45"/>
      <c r="F703" s="35"/>
    </row>
    <row r="704" spans="1:6" s="1" customFormat="1" ht="15" x14ac:dyDescent="0.2">
      <c r="A704" s="394" t="s">
        <v>227</v>
      </c>
      <c r="B704" s="395"/>
      <c r="C704" s="395"/>
      <c r="D704" s="395"/>
      <c r="E704" s="395"/>
      <c r="F704" s="31">
        <f>F699+F702</f>
        <v>74.87</v>
      </c>
    </row>
    <row r="705" spans="1:6" s="1" customFormat="1" ht="15" x14ac:dyDescent="0.2">
      <c r="A705" s="19"/>
      <c r="B705" s="50"/>
      <c r="C705" s="50"/>
      <c r="D705" s="50"/>
      <c r="E705" s="50"/>
      <c r="F705" s="61"/>
    </row>
    <row r="706" spans="1:6" ht="26.1" customHeight="1" x14ac:dyDescent="0.2">
      <c r="A706" s="59" t="s">
        <v>74</v>
      </c>
      <c r="B706" s="387" t="s">
        <v>75</v>
      </c>
      <c r="C706" s="387"/>
      <c r="D706" s="387"/>
      <c r="E706" s="7" t="s">
        <v>13</v>
      </c>
      <c r="F706" s="60">
        <f>F714</f>
        <v>74.87</v>
      </c>
    </row>
    <row r="707" spans="1:6" s="1" customFormat="1" ht="15" x14ac:dyDescent="0.2">
      <c r="A707" s="19"/>
      <c r="B707" s="50"/>
      <c r="C707" s="50"/>
      <c r="D707" s="50"/>
      <c r="E707" s="50"/>
      <c r="F707" s="61"/>
    </row>
    <row r="708" spans="1:6" s="1" customFormat="1" ht="15" x14ac:dyDescent="0.2">
      <c r="A708" s="63" t="s">
        <v>201</v>
      </c>
      <c r="B708" s="2" t="s">
        <v>186</v>
      </c>
      <c r="C708" s="2" t="s">
        <v>192</v>
      </c>
      <c r="D708" s="2" t="s">
        <v>189</v>
      </c>
      <c r="E708" s="2" t="s">
        <v>194</v>
      </c>
      <c r="F708" s="28" t="s">
        <v>195</v>
      </c>
    </row>
    <row r="709" spans="1:6" s="1" customFormat="1" ht="15" x14ac:dyDescent="0.2">
      <c r="A709" s="66" t="s">
        <v>200</v>
      </c>
      <c r="B709" s="3" t="s">
        <v>218</v>
      </c>
      <c r="C709" s="3">
        <f>19.23*2</f>
        <v>38.46</v>
      </c>
      <c r="D709" s="3">
        <v>1</v>
      </c>
      <c r="E709" s="5">
        <f>C709*D709</f>
        <v>38.46</v>
      </c>
      <c r="F709" s="29">
        <f>SUM(E709:E709)</f>
        <v>38.46</v>
      </c>
    </row>
    <row r="710" spans="1:6" s="1" customFormat="1" ht="15" x14ac:dyDescent="0.2">
      <c r="A710" s="19"/>
      <c r="B710" s="50"/>
      <c r="C710" s="50"/>
      <c r="D710" s="50"/>
      <c r="E710" s="50"/>
      <c r="F710" s="61"/>
    </row>
    <row r="711" spans="1:6" s="1" customFormat="1" ht="15" x14ac:dyDescent="0.2">
      <c r="A711" s="63" t="s">
        <v>219</v>
      </c>
      <c r="B711" s="2" t="s">
        <v>186</v>
      </c>
      <c r="C711" s="2" t="s">
        <v>192</v>
      </c>
      <c r="D711" s="2" t="s">
        <v>189</v>
      </c>
      <c r="E711" s="2" t="s">
        <v>194</v>
      </c>
      <c r="F711" s="28" t="s">
        <v>195</v>
      </c>
    </row>
    <row r="712" spans="1:6" s="1" customFormat="1" ht="15" x14ac:dyDescent="0.2">
      <c r="A712" s="66" t="s">
        <v>200</v>
      </c>
      <c r="B712" s="3" t="s">
        <v>218</v>
      </c>
      <c r="C712" s="3">
        <f>4.02+4.25+4.35+4.28+(4.28+4.35+4.05+6.13+0.35*2)</f>
        <v>36.409999999999997</v>
      </c>
      <c r="D712" s="3">
        <v>1</v>
      </c>
      <c r="E712" s="5">
        <f>C712*D712</f>
        <v>36.409999999999997</v>
      </c>
      <c r="F712" s="29">
        <f>SUM(E712:E712)</f>
        <v>36.409999999999997</v>
      </c>
    </row>
    <row r="713" spans="1:6" s="1" customFormat="1" ht="15" x14ac:dyDescent="0.2">
      <c r="A713" s="67"/>
      <c r="B713" s="50"/>
      <c r="C713" s="50"/>
      <c r="D713" s="50"/>
      <c r="E713" s="45"/>
      <c r="F713" s="35"/>
    </row>
    <row r="714" spans="1:6" s="1" customFormat="1" ht="15" x14ac:dyDescent="0.2">
      <c r="A714" s="394" t="s">
        <v>227</v>
      </c>
      <c r="B714" s="395"/>
      <c r="C714" s="395"/>
      <c r="D714" s="395"/>
      <c r="E714" s="395"/>
      <c r="F714" s="31">
        <f>F709+F712</f>
        <v>74.87</v>
      </c>
    </row>
    <row r="715" spans="1:6" s="1" customFormat="1" ht="15" x14ac:dyDescent="0.2">
      <c r="A715" s="19"/>
      <c r="B715" s="50"/>
      <c r="C715" s="50"/>
      <c r="D715" s="50"/>
      <c r="E715" s="50"/>
      <c r="F715" s="61"/>
    </row>
    <row r="716" spans="1:6" ht="39" customHeight="1" x14ac:dyDescent="0.2">
      <c r="A716" s="59" t="s">
        <v>76</v>
      </c>
      <c r="B716" s="387" t="s">
        <v>77</v>
      </c>
      <c r="C716" s="387"/>
      <c r="D716" s="387"/>
      <c r="E716" s="7" t="s">
        <v>13</v>
      </c>
      <c r="F716" s="60">
        <f>F751</f>
        <v>1437.07</v>
      </c>
    </row>
    <row r="717" spans="1:6" s="1" customFormat="1" ht="15" x14ac:dyDescent="0.2">
      <c r="A717" s="19"/>
      <c r="B717" s="50"/>
      <c r="C717" s="50"/>
      <c r="D717" s="50"/>
      <c r="E717" s="50"/>
      <c r="F717" s="61"/>
    </row>
    <row r="718" spans="1:6" s="1" customFormat="1" ht="15" x14ac:dyDescent="0.2">
      <c r="A718" s="63" t="s">
        <v>201</v>
      </c>
      <c r="B718" s="2" t="s">
        <v>186</v>
      </c>
      <c r="C718" s="2" t="s">
        <v>192</v>
      </c>
      <c r="D718" s="2" t="s">
        <v>189</v>
      </c>
      <c r="E718" s="2" t="s">
        <v>310</v>
      </c>
      <c r="F718" s="28" t="s">
        <v>195</v>
      </c>
    </row>
    <row r="719" spans="1:6" s="1" customFormat="1" ht="15" x14ac:dyDescent="0.2">
      <c r="A719" s="381" t="s">
        <v>200</v>
      </c>
      <c r="B719" s="3" t="s">
        <v>202</v>
      </c>
      <c r="C719" s="3">
        <f>5.1*2+7.93*2</f>
        <v>26.06</v>
      </c>
      <c r="D719" s="3">
        <v>2</v>
      </c>
      <c r="E719" s="5">
        <f>0.9*2.1+4.5*1.5</f>
        <v>8.64</v>
      </c>
      <c r="F719" s="29">
        <f>C719*D719-E719</f>
        <v>43.48</v>
      </c>
    </row>
    <row r="720" spans="1:6" s="1" customFormat="1" ht="15" x14ac:dyDescent="0.2">
      <c r="A720" s="382"/>
      <c r="B720" s="3" t="s">
        <v>203</v>
      </c>
      <c r="C720" s="3">
        <f t="shared" ref="C720:C721" si="22">5*2+7.93*2</f>
        <v>25.86</v>
      </c>
      <c r="D720" s="3">
        <v>2</v>
      </c>
      <c r="E720" s="5">
        <f t="shared" ref="E720:E726" si="23">0.9*2.1+4.5*1.5</f>
        <v>8.64</v>
      </c>
      <c r="F720" s="29">
        <f t="shared" ref="F720:F732" si="24">C720*D720-E720</f>
        <v>43.08</v>
      </c>
    </row>
    <row r="721" spans="1:6" s="1" customFormat="1" ht="15" x14ac:dyDescent="0.2">
      <c r="A721" s="382"/>
      <c r="B721" s="3" t="s">
        <v>204</v>
      </c>
      <c r="C721" s="3">
        <f t="shared" si="22"/>
        <v>25.86</v>
      </c>
      <c r="D721" s="3">
        <v>2</v>
      </c>
      <c r="E721" s="5">
        <f t="shared" si="23"/>
        <v>8.64</v>
      </c>
      <c r="F721" s="29">
        <f t="shared" si="24"/>
        <v>43.08</v>
      </c>
    </row>
    <row r="722" spans="1:6" s="1" customFormat="1" ht="15" x14ac:dyDescent="0.2">
      <c r="A722" s="382"/>
      <c r="B722" s="3" t="s">
        <v>205</v>
      </c>
      <c r="C722" s="3">
        <f>5*2+7.93*2</f>
        <v>25.86</v>
      </c>
      <c r="D722" s="3">
        <v>2</v>
      </c>
      <c r="E722" s="5">
        <f t="shared" si="23"/>
        <v>8.64</v>
      </c>
      <c r="F722" s="29">
        <f t="shared" si="24"/>
        <v>43.08</v>
      </c>
    </row>
    <row r="723" spans="1:6" s="1" customFormat="1" ht="15" x14ac:dyDescent="0.2">
      <c r="A723" s="382"/>
      <c r="B723" s="3" t="s">
        <v>206</v>
      </c>
      <c r="C723" s="3">
        <f>5*2+7.93*2</f>
        <v>25.86</v>
      </c>
      <c r="D723" s="3">
        <v>2</v>
      </c>
      <c r="E723" s="5">
        <f t="shared" si="23"/>
        <v>8.64</v>
      </c>
      <c r="F723" s="29">
        <f t="shared" si="24"/>
        <v>43.08</v>
      </c>
    </row>
    <row r="724" spans="1:6" s="1" customFormat="1" ht="15" x14ac:dyDescent="0.2">
      <c r="A724" s="382"/>
      <c r="B724" s="3" t="s">
        <v>207</v>
      </c>
      <c r="C724" s="3">
        <f>4.9*2+7.93*2</f>
        <v>25.66</v>
      </c>
      <c r="D724" s="3">
        <v>2</v>
      </c>
      <c r="E724" s="5">
        <f t="shared" si="23"/>
        <v>8.64</v>
      </c>
      <c r="F724" s="29">
        <f t="shared" si="24"/>
        <v>42.68</v>
      </c>
    </row>
    <row r="725" spans="1:6" s="1" customFormat="1" ht="15" x14ac:dyDescent="0.2">
      <c r="A725" s="382"/>
      <c r="B725" s="3" t="s">
        <v>308</v>
      </c>
      <c r="C725" s="3">
        <f>6.63*2+4.35*2</f>
        <v>21.96</v>
      </c>
      <c r="D725" s="3">
        <v>2</v>
      </c>
      <c r="E725" s="5">
        <f t="shared" si="23"/>
        <v>8.64</v>
      </c>
      <c r="F725" s="29">
        <f t="shared" si="24"/>
        <v>35.28</v>
      </c>
    </row>
    <row r="726" spans="1:6" s="1" customFormat="1" ht="15" x14ac:dyDescent="0.2">
      <c r="A726" s="382"/>
      <c r="B726" s="3" t="s">
        <v>319</v>
      </c>
      <c r="C726" s="3">
        <f>6.63*2+4.35*2</f>
        <v>21.96</v>
      </c>
      <c r="D726" s="3">
        <v>2</v>
      </c>
      <c r="E726" s="5">
        <f t="shared" si="23"/>
        <v>8.64</v>
      </c>
      <c r="F726" s="29">
        <f t="shared" si="24"/>
        <v>35.28</v>
      </c>
    </row>
    <row r="727" spans="1:6" s="1" customFormat="1" ht="15" x14ac:dyDescent="0.2">
      <c r="A727" s="382"/>
      <c r="B727" s="3" t="s">
        <v>323</v>
      </c>
      <c r="C727" s="3">
        <f>5*2+3.6*2</f>
        <v>17.2</v>
      </c>
      <c r="D727" s="3">
        <v>3</v>
      </c>
      <c r="E727" s="5">
        <f>2.7+0.7*2.1</f>
        <v>4.17</v>
      </c>
      <c r="F727" s="29">
        <f t="shared" si="24"/>
        <v>47.429999999999993</v>
      </c>
    </row>
    <row r="728" spans="1:6" s="1" customFormat="1" ht="15" x14ac:dyDescent="0.2">
      <c r="A728" s="382"/>
      <c r="B728" s="3" t="s">
        <v>324</v>
      </c>
      <c r="C728" s="3">
        <f>(2.85+3.6)*2</f>
        <v>12.9</v>
      </c>
      <c r="D728" s="3">
        <v>3</v>
      </c>
      <c r="E728" s="5">
        <f>0.8*2.1+4.5*0.9</f>
        <v>5.73</v>
      </c>
      <c r="F728" s="29">
        <f t="shared" si="24"/>
        <v>32.97</v>
      </c>
    </row>
    <row r="729" spans="1:6" s="1" customFormat="1" ht="15" x14ac:dyDescent="0.2">
      <c r="A729" s="382"/>
      <c r="B729" s="3" t="s">
        <v>211</v>
      </c>
      <c r="C729" s="3">
        <v>15.52</v>
      </c>
      <c r="D729" s="3">
        <v>3</v>
      </c>
      <c r="E729" s="5">
        <f>1.8*1.5+0.8*2.1+0.6*2.1</f>
        <v>5.6400000000000006</v>
      </c>
      <c r="F729" s="29">
        <f t="shared" si="24"/>
        <v>40.92</v>
      </c>
    </row>
    <row r="730" spans="1:6" s="1" customFormat="1" ht="15" x14ac:dyDescent="0.2">
      <c r="A730" s="382"/>
      <c r="B730" s="3" t="s">
        <v>320</v>
      </c>
      <c r="C730" s="3">
        <v>36.409999999999997</v>
      </c>
      <c r="D730" s="3">
        <v>3</v>
      </c>
      <c r="E730" s="5">
        <f>8*0.9*2.1+0.8*2.1+0.6*2.1+1.2*2.1</f>
        <v>20.580000000000002</v>
      </c>
      <c r="F730" s="29">
        <f t="shared" si="24"/>
        <v>88.649999999999991</v>
      </c>
    </row>
    <row r="731" spans="1:6" s="1" customFormat="1" ht="15" x14ac:dyDescent="0.2">
      <c r="A731" s="382"/>
      <c r="B731" s="3" t="s">
        <v>321</v>
      </c>
      <c r="C731" s="3">
        <v>50.22</v>
      </c>
      <c r="D731" s="3">
        <v>3</v>
      </c>
      <c r="E731" s="5">
        <f>0.9*2.1+2*0.7*2.1</f>
        <v>4.83</v>
      </c>
      <c r="F731" s="29">
        <f t="shared" si="24"/>
        <v>145.82999999999998</v>
      </c>
    </row>
    <row r="732" spans="1:6" s="1" customFormat="1" ht="15" x14ac:dyDescent="0.2">
      <c r="A732" s="383"/>
      <c r="B732" s="3" t="s">
        <v>322</v>
      </c>
      <c r="C732" s="3">
        <v>18.93</v>
      </c>
      <c r="D732" s="3">
        <v>3</v>
      </c>
      <c r="E732" s="5">
        <f>1.8*1.5+4.2*3+1.2*2.1</f>
        <v>17.82</v>
      </c>
      <c r="F732" s="29">
        <f t="shared" si="24"/>
        <v>38.97</v>
      </c>
    </row>
    <row r="733" spans="1:6" s="1" customFormat="1" ht="15" x14ac:dyDescent="0.2">
      <c r="A733" s="398" t="s">
        <v>227</v>
      </c>
      <c r="B733" s="399"/>
      <c r="C733" s="399"/>
      <c r="D733" s="399"/>
      <c r="E733" s="399"/>
      <c r="F733" s="29">
        <f>SUM(F719:F732)</f>
        <v>723.81</v>
      </c>
    </row>
    <row r="734" spans="1:6" s="1" customFormat="1" ht="15" x14ac:dyDescent="0.2">
      <c r="A734" s="19"/>
      <c r="B734" s="50"/>
      <c r="C734" s="50"/>
      <c r="D734" s="50"/>
      <c r="E734" s="50"/>
      <c r="F734" s="61"/>
    </row>
    <row r="735" spans="1:6" s="1" customFormat="1" ht="15" x14ac:dyDescent="0.2">
      <c r="A735" s="63" t="s">
        <v>219</v>
      </c>
      <c r="B735" s="2" t="s">
        <v>186</v>
      </c>
      <c r="C735" s="2" t="s">
        <v>192</v>
      </c>
      <c r="D735" s="2" t="s">
        <v>189</v>
      </c>
      <c r="E735" s="2" t="s">
        <v>310</v>
      </c>
      <c r="F735" s="28" t="s">
        <v>195</v>
      </c>
    </row>
    <row r="736" spans="1:6" s="1" customFormat="1" ht="15" x14ac:dyDescent="0.2">
      <c r="A736" s="381" t="s">
        <v>200</v>
      </c>
      <c r="B736" s="3" t="s">
        <v>202</v>
      </c>
      <c r="C736" s="3">
        <f>4.9*2+8*2</f>
        <v>25.8</v>
      </c>
      <c r="D736" s="3">
        <v>2</v>
      </c>
      <c r="E736" s="5">
        <f>0.9*2.1+4.5*1.5</f>
        <v>8.64</v>
      </c>
      <c r="F736" s="29">
        <f>C736*D736-E736</f>
        <v>42.96</v>
      </c>
    </row>
    <row r="737" spans="1:6" s="1" customFormat="1" ht="15" x14ac:dyDescent="0.2">
      <c r="A737" s="382"/>
      <c r="B737" s="3" t="s">
        <v>203</v>
      </c>
      <c r="C737" s="3">
        <f>4.9*2+8*2</f>
        <v>25.8</v>
      </c>
      <c r="D737" s="3">
        <v>2</v>
      </c>
      <c r="E737" s="5">
        <f t="shared" ref="E737:E743" si="25">0.9*2.1+4.5*1.5</f>
        <v>8.64</v>
      </c>
      <c r="F737" s="29">
        <f t="shared" ref="F737:F748" si="26">C737*D737-E737</f>
        <v>42.96</v>
      </c>
    </row>
    <row r="738" spans="1:6" s="1" customFormat="1" ht="15" x14ac:dyDescent="0.2">
      <c r="A738" s="382"/>
      <c r="B738" s="3" t="s">
        <v>204</v>
      </c>
      <c r="C738" s="3">
        <f>5*2+8*2</f>
        <v>26</v>
      </c>
      <c r="D738" s="3">
        <v>2</v>
      </c>
      <c r="E738" s="5">
        <f t="shared" si="25"/>
        <v>8.64</v>
      </c>
      <c r="F738" s="29">
        <f t="shared" si="26"/>
        <v>43.36</v>
      </c>
    </row>
    <row r="739" spans="1:6" s="1" customFormat="1" ht="15" x14ac:dyDescent="0.2">
      <c r="A739" s="382"/>
      <c r="B739" s="3" t="s">
        <v>205</v>
      </c>
      <c r="C739" s="3">
        <f>5*2+8*2</f>
        <v>26</v>
      </c>
      <c r="D739" s="3">
        <v>2</v>
      </c>
      <c r="E739" s="5">
        <f t="shared" si="25"/>
        <v>8.64</v>
      </c>
      <c r="F739" s="29">
        <f t="shared" si="26"/>
        <v>43.36</v>
      </c>
    </row>
    <row r="740" spans="1:6" s="1" customFormat="1" ht="15" x14ac:dyDescent="0.2">
      <c r="A740" s="382"/>
      <c r="B740" s="3" t="s">
        <v>206</v>
      </c>
      <c r="C740" s="3">
        <f>5.1*2+8*2</f>
        <v>26.2</v>
      </c>
      <c r="D740" s="3">
        <v>2</v>
      </c>
      <c r="E740" s="5">
        <f t="shared" si="25"/>
        <v>8.64</v>
      </c>
      <c r="F740" s="29">
        <f t="shared" si="26"/>
        <v>43.76</v>
      </c>
    </row>
    <row r="741" spans="1:6" s="1" customFormat="1" ht="15" x14ac:dyDescent="0.2">
      <c r="A741" s="382"/>
      <c r="B741" s="3" t="s">
        <v>207</v>
      </c>
      <c r="C741" s="3">
        <f>5.1*2+8*2</f>
        <v>26.2</v>
      </c>
      <c r="D741" s="3">
        <v>2</v>
      </c>
      <c r="E741" s="5">
        <f t="shared" si="25"/>
        <v>8.64</v>
      </c>
      <c r="F741" s="29">
        <f t="shared" si="26"/>
        <v>43.76</v>
      </c>
    </row>
    <row r="742" spans="1:6" s="1" customFormat="1" ht="15" x14ac:dyDescent="0.2">
      <c r="A742" s="382"/>
      <c r="B742" s="3" t="s">
        <v>308</v>
      </c>
      <c r="C742" s="3">
        <f>5*2+8*2</f>
        <v>26</v>
      </c>
      <c r="D742" s="3">
        <v>2</v>
      </c>
      <c r="E742" s="5">
        <f t="shared" si="25"/>
        <v>8.64</v>
      </c>
      <c r="F742" s="29">
        <f t="shared" si="26"/>
        <v>43.36</v>
      </c>
    </row>
    <row r="743" spans="1:6" s="1" customFormat="1" ht="15" x14ac:dyDescent="0.2">
      <c r="A743" s="382"/>
      <c r="B743" s="3" t="s">
        <v>309</v>
      </c>
      <c r="C743" s="3">
        <f>7*2+5.75*2</f>
        <v>25.5</v>
      </c>
      <c r="D743" s="3">
        <v>2</v>
      </c>
      <c r="E743" s="5">
        <f t="shared" si="25"/>
        <v>8.64</v>
      </c>
      <c r="F743" s="29">
        <f t="shared" si="26"/>
        <v>42.36</v>
      </c>
    </row>
    <row r="744" spans="1:6" s="1" customFormat="1" ht="25.5" x14ac:dyDescent="0.2">
      <c r="A744" s="382"/>
      <c r="B744" s="3" t="s">
        <v>220</v>
      </c>
      <c r="C744" s="3">
        <f>4.9*2+8*2</f>
        <v>25.8</v>
      </c>
      <c r="D744" s="3">
        <v>2</v>
      </c>
      <c r="E744" s="5">
        <f t="shared" ref="E744" si="27">0.9*2.1</f>
        <v>1.8900000000000001</v>
      </c>
      <c r="F744" s="29">
        <f t="shared" si="26"/>
        <v>49.71</v>
      </c>
    </row>
    <row r="745" spans="1:6" s="1" customFormat="1" ht="15" x14ac:dyDescent="0.2">
      <c r="A745" s="382"/>
      <c r="B745" s="3" t="s">
        <v>222</v>
      </c>
      <c r="C745" s="3">
        <v>12.42</v>
      </c>
      <c r="D745" s="3">
        <v>3</v>
      </c>
      <c r="E745" s="5">
        <f>0.9*0.9+0.7*2.1+0.9*2.1</f>
        <v>4.17</v>
      </c>
      <c r="F745" s="29">
        <f t="shared" si="26"/>
        <v>33.089999999999996</v>
      </c>
    </row>
    <row r="746" spans="1:6" s="1" customFormat="1" ht="15" x14ac:dyDescent="0.2">
      <c r="A746" s="382"/>
      <c r="B746" s="3" t="s">
        <v>320</v>
      </c>
      <c r="C746" s="3">
        <v>46</v>
      </c>
      <c r="D746" s="3">
        <v>3</v>
      </c>
      <c r="E746" s="5">
        <f>10*2.1*0.9+1.2*2.1</f>
        <v>21.42</v>
      </c>
      <c r="F746" s="29">
        <f t="shared" si="26"/>
        <v>116.58</v>
      </c>
    </row>
    <row r="747" spans="1:6" s="1" customFormat="1" ht="15" x14ac:dyDescent="0.2">
      <c r="A747" s="382"/>
      <c r="B747" s="3" t="s">
        <v>325</v>
      </c>
      <c r="C747" s="3">
        <v>47.4</v>
      </c>
      <c r="D747" s="3">
        <v>3</v>
      </c>
      <c r="E747" s="5">
        <f>3*0.9*2.1+4.5*1.8+0.8*2*2.1</f>
        <v>17.13</v>
      </c>
      <c r="F747" s="29">
        <f t="shared" si="26"/>
        <v>125.07</v>
      </c>
    </row>
    <row r="748" spans="1:6" s="1" customFormat="1" ht="15" x14ac:dyDescent="0.2">
      <c r="A748" s="383"/>
      <c r="B748" s="3" t="s">
        <v>311</v>
      </c>
      <c r="C748" s="3">
        <v>16.41</v>
      </c>
      <c r="D748" s="3">
        <v>3</v>
      </c>
      <c r="E748" s="5">
        <f>1.47*3+0.9*2.1</f>
        <v>6.3000000000000007</v>
      </c>
      <c r="F748" s="29">
        <f t="shared" si="26"/>
        <v>42.930000000000007</v>
      </c>
    </row>
    <row r="749" spans="1:6" s="1" customFormat="1" ht="15" x14ac:dyDescent="0.2">
      <c r="A749" s="398" t="s">
        <v>227</v>
      </c>
      <c r="B749" s="399"/>
      <c r="C749" s="399"/>
      <c r="D749" s="399"/>
      <c r="E749" s="399"/>
      <c r="F749" s="29">
        <f>SUM(F736:F748)</f>
        <v>713.26</v>
      </c>
    </row>
    <row r="750" spans="1:6" s="1" customFormat="1" ht="15" x14ac:dyDescent="0.2">
      <c r="A750" s="67"/>
      <c r="B750" s="50"/>
      <c r="C750" s="50"/>
      <c r="D750" s="50"/>
      <c r="E750" s="45"/>
      <c r="F750" s="35"/>
    </row>
    <row r="751" spans="1:6" s="1" customFormat="1" ht="15" x14ac:dyDescent="0.2">
      <c r="A751" s="394" t="s">
        <v>227</v>
      </c>
      <c r="B751" s="395"/>
      <c r="C751" s="395"/>
      <c r="D751" s="395"/>
      <c r="E751" s="395"/>
      <c r="F751" s="31">
        <f>F733+F749</f>
        <v>1437.07</v>
      </c>
    </row>
    <row r="752" spans="1:6" s="1" customFormat="1" ht="15" x14ac:dyDescent="0.2">
      <c r="A752" s="19"/>
      <c r="B752" s="50"/>
      <c r="C752" s="50"/>
      <c r="D752" s="50"/>
      <c r="E752" s="50"/>
      <c r="F752" s="61"/>
    </row>
    <row r="753" spans="1:6" ht="24" customHeight="1" x14ac:dyDescent="0.2">
      <c r="A753" s="57" t="s">
        <v>78</v>
      </c>
      <c r="B753" s="388" t="s">
        <v>79</v>
      </c>
      <c r="C753" s="388"/>
      <c r="D753" s="388"/>
      <c r="E753" s="6"/>
      <c r="F753" s="58">
        <v>1</v>
      </c>
    </row>
    <row r="754" spans="1:6" ht="24" customHeight="1" x14ac:dyDescent="0.2">
      <c r="A754" s="57" t="s">
        <v>80</v>
      </c>
      <c r="B754" s="388" t="s">
        <v>81</v>
      </c>
      <c r="C754" s="388"/>
      <c r="D754" s="388"/>
      <c r="E754" s="6"/>
      <c r="F754" s="58">
        <v>1</v>
      </c>
    </row>
    <row r="755" spans="1:6" ht="39" customHeight="1" x14ac:dyDescent="0.2">
      <c r="A755" s="59" t="s">
        <v>82</v>
      </c>
      <c r="B755" s="387" t="s">
        <v>83</v>
      </c>
      <c r="C755" s="387"/>
      <c r="D755" s="387"/>
      <c r="E755" s="7" t="s">
        <v>33</v>
      </c>
      <c r="F755" s="60">
        <f>D777</f>
        <v>16</v>
      </c>
    </row>
    <row r="756" spans="1:6" s="1" customFormat="1" ht="15" x14ac:dyDescent="0.2">
      <c r="A756" s="19"/>
      <c r="B756" s="50"/>
      <c r="C756" s="50"/>
      <c r="D756" s="50"/>
      <c r="E756" s="50"/>
      <c r="F756" s="61"/>
    </row>
    <row r="757" spans="1:6" s="1" customFormat="1" ht="15" x14ac:dyDescent="0.2">
      <c r="A757" s="63" t="s">
        <v>201</v>
      </c>
      <c r="B757" s="2" t="s">
        <v>186</v>
      </c>
      <c r="C757" s="2" t="s">
        <v>326</v>
      </c>
      <c r="D757" s="2" t="s">
        <v>327</v>
      </c>
      <c r="E757" s="43"/>
      <c r="F757" s="33"/>
    </row>
    <row r="758" spans="1:6" s="1" customFormat="1" ht="15" x14ac:dyDescent="0.2">
      <c r="A758" s="380" t="s">
        <v>328</v>
      </c>
      <c r="B758" s="3" t="s">
        <v>202</v>
      </c>
      <c r="C758" s="3">
        <v>1</v>
      </c>
      <c r="D758" s="401">
        <f>SUM(C758:C765)</f>
        <v>8</v>
      </c>
      <c r="E758" s="45"/>
      <c r="F758" s="400"/>
    </row>
    <row r="759" spans="1:6" s="1" customFormat="1" ht="15" x14ac:dyDescent="0.2">
      <c r="A759" s="380"/>
      <c r="B759" s="3" t="s">
        <v>203</v>
      </c>
      <c r="C759" s="3">
        <v>1</v>
      </c>
      <c r="D759" s="401"/>
      <c r="E759" s="45"/>
      <c r="F759" s="400"/>
    </row>
    <row r="760" spans="1:6" s="1" customFormat="1" ht="15" x14ac:dyDescent="0.2">
      <c r="A760" s="380"/>
      <c r="B760" s="3" t="s">
        <v>204</v>
      </c>
      <c r="C760" s="3">
        <v>1</v>
      </c>
      <c r="D760" s="401"/>
      <c r="E760" s="45"/>
      <c r="F760" s="400"/>
    </row>
    <row r="761" spans="1:6" s="1" customFormat="1" ht="15" x14ac:dyDescent="0.2">
      <c r="A761" s="380"/>
      <c r="B761" s="3" t="s">
        <v>205</v>
      </c>
      <c r="C761" s="3">
        <v>1</v>
      </c>
      <c r="D761" s="401"/>
      <c r="E761" s="45"/>
      <c r="F761" s="400"/>
    </row>
    <row r="762" spans="1:6" s="1" customFormat="1" ht="15" x14ac:dyDescent="0.2">
      <c r="A762" s="380"/>
      <c r="B762" s="3" t="s">
        <v>206</v>
      </c>
      <c r="C762" s="3">
        <v>1</v>
      </c>
      <c r="D762" s="401"/>
      <c r="E762" s="45"/>
      <c r="F762" s="400"/>
    </row>
    <row r="763" spans="1:6" s="1" customFormat="1" ht="15" x14ac:dyDescent="0.2">
      <c r="A763" s="380"/>
      <c r="B763" s="3" t="s">
        <v>207</v>
      </c>
      <c r="C763" s="3">
        <v>1</v>
      </c>
      <c r="D763" s="401"/>
      <c r="E763" s="45"/>
      <c r="F763" s="400"/>
    </row>
    <row r="764" spans="1:6" s="1" customFormat="1" ht="15" x14ac:dyDescent="0.2">
      <c r="A764" s="380"/>
      <c r="B764" s="3" t="s">
        <v>308</v>
      </c>
      <c r="C764" s="3">
        <v>1</v>
      </c>
      <c r="D764" s="401"/>
      <c r="E764" s="45"/>
      <c r="F764" s="400"/>
    </row>
    <row r="765" spans="1:6" s="1" customFormat="1" ht="25.5" x14ac:dyDescent="0.2">
      <c r="A765" s="380"/>
      <c r="B765" s="3" t="s">
        <v>318</v>
      </c>
      <c r="C765" s="3">
        <v>1</v>
      </c>
      <c r="D765" s="401"/>
      <c r="E765" s="45"/>
      <c r="F765" s="400"/>
    </row>
    <row r="766" spans="1:6" s="1" customFormat="1" ht="15" x14ac:dyDescent="0.2">
      <c r="A766" s="19"/>
      <c r="B766" s="50"/>
      <c r="C766" s="50"/>
      <c r="D766" s="50"/>
      <c r="E766" s="50"/>
      <c r="F766" s="61"/>
    </row>
    <row r="767" spans="1:6" s="1" customFormat="1" ht="15" x14ac:dyDescent="0.2">
      <c r="A767" s="63" t="s">
        <v>219</v>
      </c>
      <c r="B767" s="2" t="s">
        <v>186</v>
      </c>
      <c r="C767" s="2" t="s">
        <v>326</v>
      </c>
      <c r="D767" s="2" t="s">
        <v>327</v>
      </c>
      <c r="E767" s="43"/>
      <c r="F767" s="33"/>
    </row>
    <row r="768" spans="1:6" s="1" customFormat="1" ht="15" x14ac:dyDescent="0.2">
      <c r="A768" s="380" t="s">
        <v>328</v>
      </c>
      <c r="B768" s="3" t="s">
        <v>202</v>
      </c>
      <c r="C768" s="3">
        <v>1</v>
      </c>
      <c r="D768" s="379">
        <f>SUM(C768:C775)</f>
        <v>8</v>
      </c>
      <c r="E768" s="45"/>
      <c r="F768" s="400"/>
    </row>
    <row r="769" spans="1:6" s="1" customFormat="1" ht="15" x14ac:dyDescent="0.2">
      <c r="A769" s="380"/>
      <c r="B769" s="3" t="s">
        <v>203</v>
      </c>
      <c r="C769" s="3">
        <v>1</v>
      </c>
      <c r="D769" s="379"/>
      <c r="E769" s="45"/>
      <c r="F769" s="400"/>
    </row>
    <row r="770" spans="1:6" s="1" customFormat="1" ht="15" x14ac:dyDescent="0.2">
      <c r="A770" s="380"/>
      <c r="B770" s="3" t="s">
        <v>204</v>
      </c>
      <c r="C770" s="3">
        <v>1</v>
      </c>
      <c r="D770" s="379"/>
      <c r="E770" s="45"/>
      <c r="F770" s="400"/>
    </row>
    <row r="771" spans="1:6" s="1" customFormat="1" ht="15" x14ac:dyDescent="0.2">
      <c r="A771" s="380"/>
      <c r="B771" s="3" t="s">
        <v>205</v>
      </c>
      <c r="C771" s="3">
        <v>1</v>
      </c>
      <c r="D771" s="379"/>
      <c r="E771" s="45"/>
      <c r="F771" s="400"/>
    </row>
    <row r="772" spans="1:6" s="1" customFormat="1" ht="15" x14ac:dyDescent="0.2">
      <c r="A772" s="380"/>
      <c r="B772" s="3" t="s">
        <v>206</v>
      </c>
      <c r="C772" s="3">
        <v>1</v>
      </c>
      <c r="D772" s="379"/>
      <c r="E772" s="45"/>
      <c r="F772" s="400"/>
    </row>
    <row r="773" spans="1:6" s="1" customFormat="1" ht="15" x14ac:dyDescent="0.2">
      <c r="A773" s="380"/>
      <c r="B773" s="3" t="s">
        <v>207</v>
      </c>
      <c r="C773" s="3">
        <v>1</v>
      </c>
      <c r="D773" s="379"/>
      <c r="E773" s="45"/>
      <c r="F773" s="400"/>
    </row>
    <row r="774" spans="1:6" s="1" customFormat="1" ht="15" x14ac:dyDescent="0.2">
      <c r="A774" s="380"/>
      <c r="B774" s="3" t="s">
        <v>308</v>
      </c>
      <c r="C774" s="3">
        <v>1</v>
      </c>
      <c r="D774" s="379"/>
      <c r="E774" s="45"/>
      <c r="F774" s="400"/>
    </row>
    <row r="775" spans="1:6" s="1" customFormat="1" ht="15" x14ac:dyDescent="0.2">
      <c r="A775" s="380"/>
      <c r="B775" s="3" t="s">
        <v>309</v>
      </c>
      <c r="C775" s="3">
        <v>1</v>
      </c>
      <c r="D775" s="379"/>
      <c r="E775" s="45"/>
      <c r="F775" s="400"/>
    </row>
    <row r="776" spans="1:6" s="1" customFormat="1" ht="15" x14ac:dyDescent="0.2">
      <c r="A776" s="67"/>
      <c r="B776" s="50"/>
      <c r="C776" s="50"/>
      <c r="D776" s="50"/>
      <c r="E776" s="45"/>
      <c r="F776" s="35"/>
    </row>
    <row r="777" spans="1:6" s="1" customFormat="1" ht="15" x14ac:dyDescent="0.2">
      <c r="A777" s="384" t="s">
        <v>341</v>
      </c>
      <c r="B777" s="385"/>
      <c r="C777" s="386"/>
      <c r="D777" s="13">
        <f>D758+D768</f>
        <v>16</v>
      </c>
      <c r="E777" s="71"/>
      <c r="F777" s="35"/>
    </row>
    <row r="778" spans="1:6" s="1" customFormat="1" ht="15" x14ac:dyDescent="0.2">
      <c r="A778" s="19"/>
      <c r="B778" s="50"/>
      <c r="C778" s="50"/>
      <c r="D778" s="50"/>
      <c r="E778" s="50"/>
      <c r="F778" s="61"/>
    </row>
    <row r="779" spans="1:6" ht="39" customHeight="1" x14ac:dyDescent="0.2">
      <c r="A779" s="59" t="s">
        <v>84</v>
      </c>
      <c r="B779" s="387" t="s">
        <v>85</v>
      </c>
      <c r="C779" s="387"/>
      <c r="D779" s="387"/>
      <c r="E779" s="7" t="s">
        <v>86</v>
      </c>
      <c r="F779" s="60">
        <f>D787</f>
        <v>5</v>
      </c>
    </row>
    <row r="780" spans="1:6" s="1" customFormat="1" ht="15" x14ac:dyDescent="0.2">
      <c r="A780" s="19"/>
      <c r="B780" s="50"/>
      <c r="C780" s="50"/>
      <c r="D780" s="50"/>
      <c r="E780" s="50"/>
      <c r="F780" s="61"/>
    </row>
    <row r="781" spans="1:6" s="1" customFormat="1" ht="15" x14ac:dyDescent="0.2">
      <c r="A781" s="63" t="s">
        <v>201</v>
      </c>
      <c r="B781" s="2" t="s">
        <v>186</v>
      </c>
      <c r="C781" s="2" t="s">
        <v>326</v>
      </c>
      <c r="D781" s="2" t="s">
        <v>327</v>
      </c>
      <c r="E781" s="43"/>
      <c r="F781" s="33"/>
    </row>
    <row r="782" spans="1:6" s="1" customFormat="1" ht="15" x14ac:dyDescent="0.2">
      <c r="A782" s="380" t="s">
        <v>329</v>
      </c>
      <c r="B782" s="3" t="s">
        <v>212</v>
      </c>
      <c r="C782" s="3">
        <v>1</v>
      </c>
      <c r="D782" s="401">
        <f>SUM(C782:C785)</f>
        <v>4</v>
      </c>
      <c r="E782" s="45"/>
      <c r="F782" s="400"/>
    </row>
    <row r="783" spans="1:6" s="1" customFormat="1" ht="15" x14ac:dyDescent="0.2">
      <c r="A783" s="380"/>
      <c r="B783" s="3" t="s">
        <v>212</v>
      </c>
      <c r="C783" s="3">
        <v>1</v>
      </c>
      <c r="D783" s="401"/>
      <c r="E783" s="45"/>
      <c r="F783" s="400"/>
    </row>
    <row r="784" spans="1:6" s="1" customFormat="1" ht="15" x14ac:dyDescent="0.2">
      <c r="A784" s="380"/>
      <c r="B784" s="3" t="s">
        <v>330</v>
      </c>
      <c r="C784" s="3">
        <v>1</v>
      </c>
      <c r="D784" s="401"/>
      <c r="E784" s="45"/>
      <c r="F784" s="400"/>
    </row>
    <row r="785" spans="1:6" s="1" customFormat="1" ht="15" x14ac:dyDescent="0.2">
      <c r="A785" s="380"/>
      <c r="B785" s="3" t="s">
        <v>330</v>
      </c>
      <c r="C785" s="3">
        <v>1</v>
      </c>
      <c r="D785" s="401"/>
      <c r="E785" s="45"/>
      <c r="F785" s="400"/>
    </row>
    <row r="786" spans="1:6" s="1" customFormat="1" ht="15" x14ac:dyDescent="0.2">
      <c r="A786" s="67"/>
      <c r="B786" s="50"/>
      <c r="C786" s="50"/>
      <c r="D786" s="50"/>
      <c r="E786" s="45"/>
      <c r="F786" s="35"/>
    </row>
    <row r="787" spans="1:6" s="1" customFormat="1" ht="15" x14ac:dyDescent="0.2">
      <c r="A787" s="384" t="s">
        <v>341</v>
      </c>
      <c r="B787" s="385"/>
      <c r="C787" s="386"/>
      <c r="D787" s="13">
        <f>D782+D797</f>
        <v>5</v>
      </c>
      <c r="E787" s="71"/>
      <c r="F787" s="35"/>
    </row>
    <row r="788" spans="1:6" s="1" customFormat="1" ht="15" x14ac:dyDescent="0.2">
      <c r="A788" s="19"/>
      <c r="B788" s="50"/>
      <c r="C788" s="50"/>
      <c r="D788" s="50"/>
      <c r="E788" s="50"/>
      <c r="F788" s="61"/>
    </row>
    <row r="789" spans="1:6" ht="39" customHeight="1" x14ac:dyDescent="0.2">
      <c r="A789" s="59" t="s">
        <v>87</v>
      </c>
      <c r="B789" s="387" t="s">
        <v>88</v>
      </c>
      <c r="C789" s="387"/>
      <c r="D789" s="387"/>
      <c r="E789" s="7" t="s">
        <v>33</v>
      </c>
      <c r="F789" s="60">
        <f>D799</f>
        <v>4</v>
      </c>
    </row>
    <row r="790" spans="1:6" s="1" customFormat="1" ht="15" x14ac:dyDescent="0.2">
      <c r="A790" s="19"/>
      <c r="B790" s="50"/>
      <c r="C790" s="50"/>
      <c r="D790" s="50"/>
      <c r="E790" s="50"/>
      <c r="F790" s="61"/>
    </row>
    <row r="791" spans="1:6" s="1" customFormat="1" ht="15" x14ac:dyDescent="0.2">
      <c r="A791" s="63" t="s">
        <v>201</v>
      </c>
      <c r="B791" s="2" t="s">
        <v>186</v>
      </c>
      <c r="C791" s="2" t="s">
        <v>326</v>
      </c>
      <c r="D791" s="2" t="s">
        <v>327</v>
      </c>
      <c r="E791" s="43"/>
      <c r="F791" s="33"/>
    </row>
    <row r="792" spans="1:6" s="1" customFormat="1" ht="15" x14ac:dyDescent="0.2">
      <c r="A792" s="380" t="s">
        <v>332</v>
      </c>
      <c r="B792" s="3" t="s">
        <v>333</v>
      </c>
      <c r="C792" s="3">
        <v>1</v>
      </c>
      <c r="D792" s="401">
        <f>SUM(C792:C794)</f>
        <v>3</v>
      </c>
      <c r="E792" s="45"/>
      <c r="F792" s="400"/>
    </row>
    <row r="793" spans="1:6" s="1" customFormat="1" ht="15" x14ac:dyDescent="0.2">
      <c r="A793" s="380"/>
      <c r="B793" s="3" t="s">
        <v>209</v>
      </c>
      <c r="C793" s="3">
        <v>1</v>
      </c>
      <c r="D793" s="401"/>
      <c r="E793" s="45"/>
      <c r="F793" s="400"/>
    </row>
    <row r="794" spans="1:6" s="1" customFormat="1" ht="15" x14ac:dyDescent="0.2">
      <c r="A794" s="380"/>
      <c r="B794" s="3" t="s">
        <v>210</v>
      </c>
      <c r="C794" s="3">
        <v>1</v>
      </c>
      <c r="D794" s="401"/>
      <c r="E794" s="45"/>
      <c r="F794" s="400"/>
    </row>
    <row r="795" spans="1:6" s="1" customFormat="1" ht="15" x14ac:dyDescent="0.2">
      <c r="A795" s="67"/>
      <c r="B795" s="50"/>
      <c r="C795" s="50"/>
      <c r="D795" s="50"/>
      <c r="E795" s="45"/>
      <c r="F795" s="35"/>
    </row>
    <row r="796" spans="1:6" s="1" customFormat="1" ht="15" x14ac:dyDescent="0.2">
      <c r="A796" s="63" t="s">
        <v>219</v>
      </c>
      <c r="B796" s="2" t="s">
        <v>186</v>
      </c>
      <c r="C796" s="2" t="s">
        <v>326</v>
      </c>
      <c r="D796" s="2" t="s">
        <v>327</v>
      </c>
      <c r="E796" s="43"/>
      <c r="F796" s="33"/>
    </row>
    <row r="797" spans="1:6" s="1" customFormat="1" ht="15" x14ac:dyDescent="0.2">
      <c r="A797" s="66" t="s">
        <v>329</v>
      </c>
      <c r="B797" s="3" t="s">
        <v>331</v>
      </c>
      <c r="C797" s="3">
        <v>1</v>
      </c>
      <c r="D797" s="3">
        <f>SUM(C797:C797)</f>
        <v>1</v>
      </c>
      <c r="E797" s="45"/>
      <c r="F797" s="34"/>
    </row>
    <row r="798" spans="1:6" s="1" customFormat="1" ht="15" x14ac:dyDescent="0.2">
      <c r="A798" s="67"/>
      <c r="B798" s="50"/>
      <c r="C798" s="50"/>
      <c r="D798" s="50"/>
      <c r="E798" s="45"/>
      <c r="F798" s="35"/>
    </row>
    <row r="799" spans="1:6" s="1" customFormat="1" ht="15" x14ac:dyDescent="0.2">
      <c r="A799" s="384" t="s">
        <v>341</v>
      </c>
      <c r="B799" s="385"/>
      <c r="C799" s="386"/>
      <c r="D799" s="13">
        <f>D792+D797</f>
        <v>4</v>
      </c>
      <c r="E799" s="71"/>
      <c r="F799" s="35"/>
    </row>
    <row r="800" spans="1:6" s="1" customFormat="1" ht="15" x14ac:dyDescent="0.2">
      <c r="A800" s="19"/>
      <c r="B800" s="50"/>
      <c r="C800" s="50"/>
      <c r="D800" s="50"/>
      <c r="E800" s="50"/>
      <c r="F800" s="61"/>
    </row>
    <row r="801" spans="1:6" ht="39" customHeight="1" x14ac:dyDescent="0.2">
      <c r="A801" s="59" t="s">
        <v>89</v>
      </c>
      <c r="B801" s="387" t="s">
        <v>90</v>
      </c>
      <c r="C801" s="387"/>
      <c r="D801" s="387"/>
      <c r="E801" s="7" t="s">
        <v>33</v>
      </c>
      <c r="F801" s="60">
        <f>D812</f>
        <v>5</v>
      </c>
    </row>
    <row r="802" spans="1:6" s="1" customFormat="1" ht="15" x14ac:dyDescent="0.2">
      <c r="A802" s="19"/>
      <c r="B802" s="50"/>
      <c r="C802" s="50"/>
      <c r="D802" s="50"/>
      <c r="E802" s="50"/>
      <c r="F802" s="61"/>
    </row>
    <row r="803" spans="1:6" s="1" customFormat="1" ht="15" x14ac:dyDescent="0.2">
      <c r="A803" s="63" t="s">
        <v>201</v>
      </c>
      <c r="B803" s="2" t="s">
        <v>186</v>
      </c>
      <c r="C803" s="2" t="s">
        <v>326</v>
      </c>
      <c r="D803" s="2" t="s">
        <v>327</v>
      </c>
      <c r="E803" s="43"/>
      <c r="F803" s="33"/>
    </row>
    <row r="804" spans="1:6" s="1" customFormat="1" ht="15" x14ac:dyDescent="0.2">
      <c r="A804" s="381" t="s">
        <v>337</v>
      </c>
      <c r="B804" s="16" t="s">
        <v>211</v>
      </c>
      <c r="C804" s="16">
        <v>1</v>
      </c>
      <c r="D804" s="420">
        <f>SUM(C804:C806)</f>
        <v>3</v>
      </c>
      <c r="E804" s="43"/>
      <c r="F804" s="33"/>
    </row>
    <row r="805" spans="1:6" s="1" customFormat="1" ht="15" x14ac:dyDescent="0.2">
      <c r="A805" s="382"/>
      <c r="B805" s="16" t="s">
        <v>297</v>
      </c>
      <c r="C805" s="16">
        <v>1</v>
      </c>
      <c r="D805" s="440"/>
      <c r="E805" s="43"/>
      <c r="F805" s="33"/>
    </row>
    <row r="806" spans="1:6" s="1" customFormat="1" ht="15" x14ac:dyDescent="0.2">
      <c r="A806" s="383"/>
      <c r="B806" s="16" t="s">
        <v>212</v>
      </c>
      <c r="C806" s="16">
        <v>1</v>
      </c>
      <c r="D806" s="421"/>
      <c r="E806" s="45"/>
      <c r="F806" s="34"/>
    </row>
    <row r="807" spans="1:6" s="1" customFormat="1" ht="15" x14ac:dyDescent="0.2">
      <c r="A807" s="19"/>
      <c r="B807" s="50"/>
      <c r="C807" s="50"/>
      <c r="D807" s="50"/>
      <c r="E807" s="50"/>
      <c r="F807" s="61"/>
    </row>
    <row r="808" spans="1:6" s="1" customFormat="1" ht="15" x14ac:dyDescent="0.2">
      <c r="A808" s="63" t="s">
        <v>219</v>
      </c>
      <c r="B808" s="2" t="s">
        <v>186</v>
      </c>
      <c r="C808" s="2" t="s">
        <v>326</v>
      </c>
      <c r="D808" s="2" t="s">
        <v>327</v>
      </c>
      <c r="E808" s="43"/>
      <c r="F808" s="33"/>
    </row>
    <row r="809" spans="1:6" s="1" customFormat="1" ht="15" x14ac:dyDescent="0.2">
      <c r="A809" s="381" t="s">
        <v>338</v>
      </c>
      <c r="B809" s="16" t="s">
        <v>340</v>
      </c>
      <c r="C809" s="16">
        <v>1</v>
      </c>
      <c r="D809" s="420">
        <f>SUM(C809:C810)</f>
        <v>2</v>
      </c>
      <c r="E809" s="43"/>
      <c r="F809" s="33"/>
    </row>
    <row r="810" spans="1:6" s="1" customFormat="1" ht="15" x14ac:dyDescent="0.2">
      <c r="A810" s="383"/>
      <c r="B810" s="3" t="s">
        <v>339</v>
      </c>
      <c r="C810" s="3">
        <v>1</v>
      </c>
      <c r="D810" s="421"/>
      <c r="E810" s="45"/>
      <c r="F810" s="34"/>
    </row>
    <row r="811" spans="1:6" s="1" customFormat="1" ht="15" x14ac:dyDescent="0.2">
      <c r="A811" s="67"/>
      <c r="B811" s="50"/>
      <c r="C811" s="50"/>
      <c r="D811" s="50"/>
      <c r="E811" s="45"/>
      <c r="F811" s="35"/>
    </row>
    <row r="812" spans="1:6" s="1" customFormat="1" ht="15" x14ac:dyDescent="0.2">
      <c r="A812" s="384" t="s">
        <v>341</v>
      </c>
      <c r="B812" s="385"/>
      <c r="C812" s="386"/>
      <c r="D812" s="13">
        <f>D804+D809</f>
        <v>5</v>
      </c>
      <c r="E812" s="71"/>
      <c r="F812" s="35"/>
    </row>
    <row r="813" spans="1:6" s="1" customFormat="1" ht="15" x14ac:dyDescent="0.2">
      <c r="A813" s="19"/>
      <c r="B813" s="50"/>
      <c r="C813" s="50"/>
      <c r="D813" s="50"/>
      <c r="E813" s="50"/>
      <c r="F813" s="61"/>
    </row>
    <row r="814" spans="1:6" ht="65.099999999999994" customHeight="1" x14ac:dyDescent="0.2">
      <c r="A814" s="59" t="s">
        <v>91</v>
      </c>
      <c r="B814" s="387" t="s">
        <v>92</v>
      </c>
      <c r="C814" s="387"/>
      <c r="D814" s="387"/>
      <c r="E814" s="7" t="s">
        <v>16</v>
      </c>
      <c r="F814" s="60">
        <f>D824</f>
        <v>15</v>
      </c>
    </row>
    <row r="815" spans="1:6" s="1" customFormat="1" ht="15" x14ac:dyDescent="0.2">
      <c r="A815" s="19"/>
      <c r="B815" s="50"/>
      <c r="C815" s="50"/>
      <c r="D815" s="50"/>
      <c r="E815" s="50"/>
      <c r="F815" s="61"/>
    </row>
    <row r="816" spans="1:6" s="1" customFormat="1" ht="15" x14ac:dyDescent="0.2">
      <c r="A816" s="63" t="s">
        <v>201</v>
      </c>
      <c r="B816" s="2" t="s">
        <v>186</v>
      </c>
      <c r="C816" s="2" t="s">
        <v>326</v>
      </c>
      <c r="D816" s="2" t="s">
        <v>327</v>
      </c>
      <c r="E816" s="43"/>
      <c r="F816" s="33"/>
    </row>
    <row r="817" spans="1:6" s="1" customFormat="1" ht="15" x14ac:dyDescent="0.2">
      <c r="A817" s="380" t="s">
        <v>338</v>
      </c>
      <c r="B817" s="16" t="s">
        <v>209</v>
      </c>
      <c r="C817" s="16">
        <v>3</v>
      </c>
      <c r="D817" s="422">
        <f>SUM(C817:C818)</f>
        <v>7</v>
      </c>
      <c r="E817" s="43"/>
      <c r="F817" s="33"/>
    </row>
    <row r="818" spans="1:6" s="1" customFormat="1" ht="15" x14ac:dyDescent="0.2">
      <c r="A818" s="380"/>
      <c r="B818" s="16" t="s">
        <v>210</v>
      </c>
      <c r="C818" s="16">
        <v>4</v>
      </c>
      <c r="D818" s="422"/>
      <c r="E818" s="43"/>
      <c r="F818" s="33"/>
    </row>
    <row r="819" spans="1:6" s="1" customFormat="1" ht="15" x14ac:dyDescent="0.2">
      <c r="A819" s="19"/>
      <c r="B819" s="50"/>
      <c r="C819" s="50"/>
      <c r="D819" s="50"/>
      <c r="E819" s="50"/>
      <c r="F819" s="61"/>
    </row>
    <row r="820" spans="1:6" s="1" customFormat="1" ht="15" x14ac:dyDescent="0.2">
      <c r="A820" s="63" t="s">
        <v>219</v>
      </c>
      <c r="B820" s="2" t="s">
        <v>186</v>
      </c>
      <c r="C820" s="2" t="s">
        <v>326</v>
      </c>
      <c r="D820" s="2" t="s">
        <v>327</v>
      </c>
      <c r="E820" s="43"/>
      <c r="F820" s="33"/>
    </row>
    <row r="821" spans="1:6" s="1" customFormat="1" ht="15" x14ac:dyDescent="0.2">
      <c r="A821" s="381" t="s">
        <v>338</v>
      </c>
      <c r="B821" s="16" t="s">
        <v>340</v>
      </c>
      <c r="C821" s="16">
        <v>4</v>
      </c>
      <c r="D821" s="420">
        <f>SUM(C821:C822)</f>
        <v>8</v>
      </c>
      <c r="E821" s="43"/>
      <c r="F821" s="33"/>
    </row>
    <row r="822" spans="1:6" s="1" customFormat="1" ht="15" x14ac:dyDescent="0.2">
      <c r="A822" s="383"/>
      <c r="B822" s="3" t="s">
        <v>339</v>
      </c>
      <c r="C822" s="3">
        <v>4</v>
      </c>
      <c r="D822" s="421"/>
      <c r="E822" s="45"/>
      <c r="F822" s="34"/>
    </row>
    <row r="823" spans="1:6" s="1" customFormat="1" ht="15" x14ac:dyDescent="0.2">
      <c r="A823" s="67"/>
      <c r="B823" s="50"/>
      <c r="C823" s="50"/>
      <c r="D823" s="50"/>
      <c r="E823" s="45"/>
      <c r="F823" s="35"/>
    </row>
    <row r="824" spans="1:6" s="1" customFormat="1" ht="15" x14ac:dyDescent="0.2">
      <c r="A824" s="384" t="s">
        <v>341</v>
      </c>
      <c r="B824" s="385"/>
      <c r="C824" s="386"/>
      <c r="D824" s="13">
        <f>D817+D821</f>
        <v>15</v>
      </c>
      <c r="E824" s="71"/>
      <c r="F824" s="35"/>
    </row>
    <row r="825" spans="1:6" s="1" customFormat="1" ht="15" x14ac:dyDescent="0.2">
      <c r="A825" s="19"/>
      <c r="B825" s="50"/>
      <c r="C825" s="50"/>
      <c r="D825" s="50"/>
      <c r="E825" s="50"/>
      <c r="F825" s="61"/>
    </row>
    <row r="826" spans="1:6" ht="26.1" customHeight="1" x14ac:dyDescent="0.2">
      <c r="A826" s="59" t="s">
        <v>93</v>
      </c>
      <c r="B826" s="387" t="s">
        <v>94</v>
      </c>
      <c r="C826" s="387"/>
      <c r="D826" s="387"/>
      <c r="E826" s="7" t="s">
        <v>13</v>
      </c>
      <c r="F826" s="60">
        <f>D831</f>
        <v>3.6</v>
      </c>
    </row>
    <row r="827" spans="1:6" s="1" customFormat="1" ht="15" x14ac:dyDescent="0.2">
      <c r="A827" s="19"/>
      <c r="B827" s="50"/>
      <c r="C827" s="50"/>
      <c r="D827" s="50"/>
      <c r="E827" s="50"/>
      <c r="F827" s="61"/>
    </row>
    <row r="828" spans="1:6" s="1" customFormat="1" ht="15" x14ac:dyDescent="0.2">
      <c r="A828" s="63" t="s">
        <v>201</v>
      </c>
      <c r="B828" s="2" t="s">
        <v>186</v>
      </c>
      <c r="C828" s="2" t="s">
        <v>334</v>
      </c>
      <c r="D828" s="2" t="s">
        <v>195</v>
      </c>
      <c r="E828" s="43"/>
      <c r="F828" s="33"/>
    </row>
    <row r="829" spans="1:6" s="1" customFormat="1" ht="15" x14ac:dyDescent="0.2">
      <c r="A829" s="66" t="s">
        <v>335</v>
      </c>
      <c r="B829" s="3" t="s">
        <v>336</v>
      </c>
      <c r="C829" s="3">
        <f>1.8*2</f>
        <v>3.6</v>
      </c>
      <c r="D829" s="5">
        <f>SUM(C829:C829)</f>
        <v>3.6</v>
      </c>
      <c r="E829" s="45"/>
      <c r="F829" s="34"/>
    </row>
    <row r="830" spans="1:6" s="1" customFormat="1" ht="15" x14ac:dyDescent="0.2">
      <c r="A830" s="67"/>
      <c r="B830" s="50"/>
      <c r="C830" s="50"/>
      <c r="D830" s="50"/>
      <c r="E830" s="45"/>
      <c r="F830" s="35"/>
    </row>
    <row r="831" spans="1:6" s="1" customFormat="1" ht="15" x14ac:dyDescent="0.2">
      <c r="A831" s="384" t="s">
        <v>227</v>
      </c>
      <c r="B831" s="385"/>
      <c r="C831" s="386"/>
      <c r="D831" s="13">
        <f>D829</f>
        <v>3.6</v>
      </c>
      <c r="E831" s="71"/>
      <c r="F831" s="35"/>
    </row>
    <row r="832" spans="1:6" s="1" customFormat="1" ht="15" x14ac:dyDescent="0.2">
      <c r="A832" s="19"/>
      <c r="B832" s="50"/>
      <c r="C832" s="50"/>
      <c r="D832" s="50"/>
      <c r="E832" s="50"/>
      <c r="F832" s="61"/>
    </row>
    <row r="833" spans="1:6" ht="24" customHeight="1" x14ac:dyDescent="0.2">
      <c r="A833" s="57" t="s">
        <v>466</v>
      </c>
      <c r="B833" s="388" t="s">
        <v>95</v>
      </c>
      <c r="C833" s="388"/>
      <c r="D833" s="388"/>
      <c r="E833" s="6"/>
      <c r="F833" s="58">
        <v>1</v>
      </c>
    </row>
    <row r="834" spans="1:6" ht="26.1" customHeight="1" x14ac:dyDescent="0.2">
      <c r="A834" s="59" t="s">
        <v>467</v>
      </c>
      <c r="B834" s="387" t="s">
        <v>96</v>
      </c>
      <c r="C834" s="387"/>
      <c r="D834" s="387"/>
      <c r="E834" s="7" t="s">
        <v>10</v>
      </c>
      <c r="F834" s="60">
        <f>D857</f>
        <v>15.899999999999999</v>
      </c>
    </row>
    <row r="835" spans="1:6" s="1" customFormat="1" ht="15" x14ac:dyDescent="0.2">
      <c r="A835" s="19"/>
      <c r="B835" s="50"/>
      <c r="C835" s="50"/>
      <c r="D835" s="50"/>
      <c r="E835" s="50"/>
      <c r="F835" s="61"/>
    </row>
    <row r="836" spans="1:6" s="1" customFormat="1" ht="15" x14ac:dyDescent="0.2">
      <c r="A836" s="63" t="s">
        <v>201</v>
      </c>
      <c r="B836" s="2" t="s">
        <v>186</v>
      </c>
      <c r="C836" s="2" t="s">
        <v>187</v>
      </c>
      <c r="D836" s="2" t="s">
        <v>313</v>
      </c>
      <c r="E836" s="47"/>
      <c r="F836" s="35"/>
    </row>
    <row r="837" spans="1:6" s="1" customFormat="1" ht="15" x14ac:dyDescent="0.2">
      <c r="A837" s="380" t="s">
        <v>342</v>
      </c>
      <c r="B837" s="3" t="s">
        <v>209</v>
      </c>
      <c r="C837" s="3">
        <v>0.7</v>
      </c>
      <c r="D837" s="401">
        <f>SUM(C837:C845)</f>
        <v>8.4999999999999982</v>
      </c>
      <c r="E837" s="45"/>
      <c r="F837" s="400"/>
    </row>
    <row r="838" spans="1:6" s="1" customFormat="1" ht="15" x14ac:dyDescent="0.2">
      <c r="A838" s="380"/>
      <c r="B838" s="3" t="s">
        <v>210</v>
      </c>
      <c r="C838" s="3">
        <v>0.7</v>
      </c>
      <c r="D838" s="401"/>
      <c r="E838" s="45"/>
      <c r="F838" s="400"/>
    </row>
    <row r="839" spans="1:6" s="1" customFormat="1" ht="15" x14ac:dyDescent="0.2">
      <c r="A839" s="380"/>
      <c r="B839" s="3" t="s">
        <v>297</v>
      </c>
      <c r="C839" s="3">
        <v>2</v>
      </c>
      <c r="D839" s="401"/>
      <c r="E839" s="45"/>
      <c r="F839" s="400"/>
    </row>
    <row r="840" spans="1:6" s="1" customFormat="1" ht="15" x14ac:dyDescent="0.2">
      <c r="A840" s="380"/>
      <c r="B840" s="3" t="s">
        <v>212</v>
      </c>
      <c r="C840" s="3">
        <v>0.6</v>
      </c>
      <c r="D840" s="401"/>
      <c r="E840" s="45"/>
      <c r="F840" s="400"/>
    </row>
    <row r="841" spans="1:6" s="1" customFormat="1" ht="15" x14ac:dyDescent="0.2">
      <c r="A841" s="380"/>
      <c r="B841" s="3" t="s">
        <v>212</v>
      </c>
      <c r="C841" s="3">
        <v>0.6</v>
      </c>
      <c r="D841" s="401"/>
      <c r="E841" s="45"/>
      <c r="F841" s="400"/>
    </row>
    <row r="842" spans="1:6" s="1" customFormat="1" ht="15" x14ac:dyDescent="0.2">
      <c r="A842" s="380"/>
      <c r="B842" s="3" t="s">
        <v>215</v>
      </c>
      <c r="C842" s="3">
        <v>0.6</v>
      </c>
      <c r="D842" s="401"/>
      <c r="E842" s="45"/>
      <c r="F842" s="400"/>
    </row>
    <row r="843" spans="1:6" s="1" customFormat="1" ht="15" x14ac:dyDescent="0.2">
      <c r="A843" s="380"/>
      <c r="B843" s="3" t="s">
        <v>216</v>
      </c>
      <c r="C843" s="3">
        <v>0.6</v>
      </c>
      <c r="D843" s="401"/>
      <c r="E843" s="45"/>
      <c r="F843" s="400"/>
    </row>
    <row r="844" spans="1:6" s="1" customFormat="1" ht="15" x14ac:dyDescent="0.2">
      <c r="A844" s="380"/>
      <c r="B844" s="3" t="s">
        <v>221</v>
      </c>
      <c r="C844" s="3">
        <v>1.5</v>
      </c>
      <c r="D844" s="401"/>
      <c r="E844" s="45"/>
      <c r="F844" s="400"/>
    </row>
    <row r="845" spans="1:6" s="1" customFormat="1" ht="15" x14ac:dyDescent="0.2">
      <c r="A845" s="380"/>
      <c r="B845" s="3" t="s">
        <v>217</v>
      </c>
      <c r="C845" s="3">
        <v>1.2</v>
      </c>
      <c r="D845" s="401"/>
      <c r="E845" s="45"/>
      <c r="F845" s="400"/>
    </row>
    <row r="846" spans="1:6" s="1" customFormat="1" ht="15" x14ac:dyDescent="0.2">
      <c r="A846" s="19"/>
      <c r="B846" s="50"/>
      <c r="C846" s="50"/>
      <c r="D846" s="50"/>
      <c r="E846" s="70"/>
      <c r="F846" s="79"/>
    </row>
    <row r="847" spans="1:6" s="1" customFormat="1" ht="15" x14ac:dyDescent="0.2">
      <c r="A847" s="63" t="s">
        <v>219</v>
      </c>
      <c r="B847" s="2" t="s">
        <v>186</v>
      </c>
      <c r="C847" s="2" t="s">
        <v>187</v>
      </c>
      <c r="D847" s="2" t="s">
        <v>313</v>
      </c>
      <c r="E847" s="47"/>
      <c r="F847" s="35"/>
    </row>
    <row r="848" spans="1:6" s="1" customFormat="1" ht="15" x14ac:dyDescent="0.2">
      <c r="A848" s="380" t="s">
        <v>342</v>
      </c>
      <c r="B848" s="3" t="s">
        <v>209</v>
      </c>
      <c r="C848" s="3">
        <v>0.8</v>
      </c>
      <c r="D848" s="401">
        <f>SUM(C848:C855)</f>
        <v>7.4000000000000012</v>
      </c>
      <c r="E848" s="45"/>
      <c r="F848" s="400"/>
    </row>
    <row r="849" spans="1:6" s="1" customFormat="1" ht="15" x14ac:dyDescent="0.2">
      <c r="A849" s="380"/>
      <c r="B849" s="3" t="s">
        <v>210</v>
      </c>
      <c r="C849" s="3">
        <v>0.8</v>
      </c>
      <c r="D849" s="401"/>
      <c r="E849" s="45"/>
      <c r="F849" s="400"/>
    </row>
    <row r="850" spans="1:6" s="1" customFormat="1" ht="15" x14ac:dyDescent="0.2">
      <c r="A850" s="380"/>
      <c r="B850" s="3" t="s">
        <v>336</v>
      </c>
      <c r="C850" s="3">
        <v>1.6</v>
      </c>
      <c r="D850" s="401"/>
      <c r="E850" s="45"/>
      <c r="F850" s="400"/>
    </row>
    <row r="851" spans="1:6" s="1" customFormat="1" ht="15" x14ac:dyDescent="0.2">
      <c r="A851" s="380"/>
      <c r="B851" s="3" t="s">
        <v>223</v>
      </c>
      <c r="C851" s="3">
        <v>0.6</v>
      </c>
      <c r="D851" s="401"/>
      <c r="E851" s="45"/>
      <c r="F851" s="400"/>
    </row>
    <row r="852" spans="1:6" s="1" customFormat="1" ht="15" x14ac:dyDescent="0.2">
      <c r="A852" s="380"/>
      <c r="B852" s="3" t="s">
        <v>226</v>
      </c>
      <c r="C852" s="3">
        <v>0.9</v>
      </c>
      <c r="D852" s="401"/>
      <c r="E852" s="45"/>
      <c r="F852" s="400"/>
    </row>
    <row r="853" spans="1:6" s="1" customFormat="1" ht="15" x14ac:dyDescent="0.2">
      <c r="A853" s="380"/>
      <c r="B853" s="3" t="s">
        <v>226</v>
      </c>
      <c r="C853" s="3">
        <v>0.9</v>
      </c>
      <c r="D853" s="401"/>
      <c r="E853" s="45"/>
      <c r="F853" s="400"/>
    </row>
    <row r="854" spans="1:6" s="1" customFormat="1" ht="15" x14ac:dyDescent="0.2">
      <c r="A854" s="380"/>
      <c r="B854" s="3" t="s">
        <v>221</v>
      </c>
      <c r="C854" s="3">
        <v>0.9</v>
      </c>
      <c r="D854" s="401"/>
      <c r="E854" s="45"/>
      <c r="F854" s="400"/>
    </row>
    <row r="855" spans="1:6" s="1" customFormat="1" ht="15" x14ac:dyDescent="0.2">
      <c r="A855" s="380"/>
      <c r="B855" s="3" t="s">
        <v>311</v>
      </c>
      <c r="C855" s="3">
        <v>0.9</v>
      </c>
      <c r="D855" s="401"/>
      <c r="E855" s="45"/>
      <c r="F855" s="400"/>
    </row>
    <row r="856" spans="1:6" s="1" customFormat="1" ht="15" x14ac:dyDescent="0.2">
      <c r="A856" s="67"/>
      <c r="B856" s="50"/>
      <c r="C856" s="50"/>
      <c r="D856" s="50"/>
      <c r="E856" s="45"/>
      <c r="F856" s="35"/>
    </row>
    <row r="857" spans="1:6" s="1" customFormat="1" ht="15" x14ac:dyDescent="0.25">
      <c r="A857" s="392" t="s">
        <v>227</v>
      </c>
      <c r="B857" s="393"/>
      <c r="C857" s="393"/>
      <c r="D857" s="18">
        <f>D837+D848</f>
        <v>15.899999999999999</v>
      </c>
      <c r="E857" s="71"/>
      <c r="F857" s="35"/>
    </row>
    <row r="858" spans="1:6" s="1" customFormat="1" ht="15" x14ac:dyDescent="0.2">
      <c r="A858" s="19"/>
      <c r="B858" s="50"/>
      <c r="C858" s="50"/>
      <c r="D858" s="50"/>
      <c r="E858" s="50"/>
      <c r="F858" s="61"/>
    </row>
    <row r="859" spans="1:6" ht="51.95" customHeight="1" x14ac:dyDescent="0.2">
      <c r="A859" s="59" t="s">
        <v>468</v>
      </c>
      <c r="B859" s="387" t="s">
        <v>97</v>
      </c>
      <c r="C859" s="387"/>
      <c r="D859" s="387"/>
      <c r="E859" s="7" t="s">
        <v>13</v>
      </c>
      <c r="F859" s="60">
        <f>F871</f>
        <v>38.861999999999995</v>
      </c>
    </row>
    <row r="860" spans="1:6" s="1" customFormat="1" ht="15" x14ac:dyDescent="0.2">
      <c r="A860" s="19"/>
      <c r="B860" s="50"/>
      <c r="C860" s="50"/>
      <c r="D860" s="50"/>
      <c r="E860" s="50"/>
      <c r="F860" s="61"/>
    </row>
    <row r="861" spans="1:6" s="1" customFormat="1" ht="15" x14ac:dyDescent="0.2">
      <c r="A861" s="63" t="s">
        <v>201</v>
      </c>
      <c r="B861" s="2" t="s">
        <v>186</v>
      </c>
      <c r="C861" s="2" t="s">
        <v>192</v>
      </c>
      <c r="D861" s="2" t="s">
        <v>189</v>
      </c>
      <c r="E861" s="2" t="s">
        <v>295</v>
      </c>
      <c r="F861" s="28" t="s">
        <v>194</v>
      </c>
    </row>
    <row r="862" spans="1:6" s="1" customFormat="1" ht="15" x14ac:dyDescent="0.2">
      <c r="A862" s="381" t="s">
        <v>343</v>
      </c>
      <c r="B862" s="3" t="s">
        <v>209</v>
      </c>
      <c r="C862" s="3">
        <f>1.15+0.3</f>
        <v>1.45</v>
      </c>
      <c r="D862" s="3">
        <v>1.8</v>
      </c>
      <c r="E862" s="5">
        <v>3</v>
      </c>
      <c r="F862" s="29">
        <f>C862*D862*E862</f>
        <v>7.83</v>
      </c>
    </row>
    <row r="863" spans="1:6" s="1" customFormat="1" ht="15" x14ac:dyDescent="0.2">
      <c r="A863" s="382"/>
      <c r="B863" s="3" t="s">
        <v>210</v>
      </c>
      <c r="C863" s="3">
        <f>1.15+0.3</f>
        <v>1.45</v>
      </c>
      <c r="D863" s="3">
        <v>1.8</v>
      </c>
      <c r="E863" s="5">
        <v>4</v>
      </c>
      <c r="F863" s="29">
        <f>C863*D863*E863</f>
        <v>10.44</v>
      </c>
    </row>
    <row r="864" spans="1:6" s="1" customFormat="1" ht="15" x14ac:dyDescent="0.2">
      <c r="A864" s="389" t="s">
        <v>227</v>
      </c>
      <c r="B864" s="390"/>
      <c r="C864" s="390"/>
      <c r="D864" s="390"/>
      <c r="E864" s="391"/>
      <c r="F864" s="29">
        <f>F862+F863</f>
        <v>18.27</v>
      </c>
    </row>
    <row r="865" spans="1:6" s="1" customFormat="1" ht="15" x14ac:dyDescent="0.2">
      <c r="A865" s="19"/>
      <c r="B865" s="50"/>
      <c r="C865" s="50"/>
      <c r="D865" s="50"/>
      <c r="E865" s="50"/>
      <c r="F865" s="61"/>
    </row>
    <row r="866" spans="1:6" s="1" customFormat="1" ht="15" x14ac:dyDescent="0.2">
      <c r="A866" s="63" t="s">
        <v>219</v>
      </c>
      <c r="B866" s="2" t="s">
        <v>186</v>
      </c>
      <c r="C866" s="2" t="s">
        <v>192</v>
      </c>
      <c r="D866" s="2" t="s">
        <v>189</v>
      </c>
      <c r="E866" s="2" t="s">
        <v>295</v>
      </c>
      <c r="F866" s="28" t="s">
        <v>194</v>
      </c>
    </row>
    <row r="867" spans="1:6" s="1" customFormat="1" ht="15" x14ac:dyDescent="0.2">
      <c r="A867" s="381" t="s">
        <v>343</v>
      </c>
      <c r="B867" s="3" t="s">
        <v>209</v>
      </c>
      <c r="C867" s="3">
        <f>1.13+0.3</f>
        <v>1.43</v>
      </c>
      <c r="D867" s="3">
        <v>1.8</v>
      </c>
      <c r="E867" s="5">
        <v>4</v>
      </c>
      <c r="F867" s="29">
        <f>C867*D867*E867</f>
        <v>10.295999999999999</v>
      </c>
    </row>
    <row r="868" spans="1:6" s="1" customFormat="1" ht="15" x14ac:dyDescent="0.2">
      <c r="A868" s="382"/>
      <c r="B868" s="3" t="s">
        <v>210</v>
      </c>
      <c r="C868" s="3">
        <f>1.13+0.3</f>
        <v>1.43</v>
      </c>
      <c r="D868" s="3">
        <v>1.8</v>
      </c>
      <c r="E868" s="5">
        <v>4</v>
      </c>
      <c r="F868" s="29">
        <f>C868*D868*E868</f>
        <v>10.295999999999999</v>
      </c>
    </row>
    <row r="869" spans="1:6" s="1" customFormat="1" ht="15" x14ac:dyDescent="0.2">
      <c r="A869" s="389" t="s">
        <v>227</v>
      </c>
      <c r="B869" s="390"/>
      <c r="C869" s="390"/>
      <c r="D869" s="390"/>
      <c r="E869" s="391"/>
      <c r="F869" s="29">
        <f>F867+F868</f>
        <v>20.591999999999999</v>
      </c>
    </row>
    <row r="870" spans="1:6" s="1" customFormat="1" ht="15" x14ac:dyDescent="0.2">
      <c r="A870" s="67"/>
      <c r="B870" s="50"/>
      <c r="C870" s="50"/>
      <c r="D870" s="50"/>
      <c r="E870" s="45"/>
      <c r="F870" s="35"/>
    </row>
    <row r="871" spans="1:6" s="1" customFormat="1" ht="15" x14ac:dyDescent="0.2">
      <c r="A871" s="394" t="s">
        <v>227</v>
      </c>
      <c r="B871" s="395"/>
      <c r="C871" s="395"/>
      <c r="D871" s="395"/>
      <c r="E871" s="395"/>
      <c r="F871" s="31">
        <f>F864+F869</f>
        <v>38.861999999999995</v>
      </c>
    </row>
    <row r="872" spans="1:6" s="1" customFormat="1" ht="15" x14ac:dyDescent="0.2">
      <c r="A872" s="19"/>
      <c r="B872" s="50"/>
      <c r="C872" s="50"/>
      <c r="D872" s="50"/>
      <c r="E872" s="50"/>
      <c r="F872" s="61"/>
    </row>
    <row r="873" spans="1:6" ht="24" customHeight="1" x14ac:dyDescent="0.2">
      <c r="A873" s="59" t="s">
        <v>469</v>
      </c>
      <c r="B873" s="387" t="s">
        <v>98</v>
      </c>
      <c r="C873" s="387"/>
      <c r="D873" s="387"/>
      <c r="E873" s="7" t="s">
        <v>13</v>
      </c>
      <c r="F873" s="60">
        <f>F889</f>
        <v>3.0909999999999997</v>
      </c>
    </row>
    <row r="874" spans="1:6" s="1" customFormat="1" ht="15" x14ac:dyDescent="0.2">
      <c r="A874" s="67"/>
      <c r="B874" s="50"/>
      <c r="C874" s="50"/>
      <c r="D874" s="50"/>
      <c r="E874" s="45"/>
      <c r="F874" s="35"/>
    </row>
    <row r="875" spans="1:6" s="1" customFormat="1" ht="15" x14ac:dyDescent="0.2">
      <c r="A875" s="21" t="s">
        <v>201</v>
      </c>
      <c r="B875" s="2" t="s">
        <v>186</v>
      </c>
      <c r="C875" s="2" t="s">
        <v>346</v>
      </c>
      <c r="D875" s="2" t="s">
        <v>189</v>
      </c>
      <c r="E875" s="2" t="s">
        <v>347</v>
      </c>
      <c r="F875" s="28" t="s">
        <v>194</v>
      </c>
    </row>
    <row r="876" spans="1:6" s="1" customFormat="1" ht="15" x14ac:dyDescent="0.2">
      <c r="A876" s="353" t="s">
        <v>331</v>
      </c>
      <c r="B876" s="3" t="s">
        <v>344</v>
      </c>
      <c r="C876" s="3">
        <v>1.75</v>
      </c>
      <c r="D876" s="3"/>
      <c r="E876" s="5">
        <v>0.5</v>
      </c>
      <c r="F876" s="29">
        <f>C876*E876</f>
        <v>0.875</v>
      </c>
    </row>
    <row r="877" spans="1:6" s="1" customFormat="1" ht="15" x14ac:dyDescent="0.2">
      <c r="A877" s="370"/>
      <c r="B877" s="3" t="s">
        <v>345</v>
      </c>
      <c r="C877" s="3">
        <v>1.75</v>
      </c>
      <c r="D877" s="3">
        <v>0.1</v>
      </c>
      <c r="E877" s="5"/>
      <c r="F877" s="29">
        <f>C877*D877</f>
        <v>0.17500000000000002</v>
      </c>
    </row>
    <row r="878" spans="1:6" s="1" customFormat="1" ht="15" x14ac:dyDescent="0.2">
      <c r="A878" s="353" t="s">
        <v>331</v>
      </c>
      <c r="B878" s="3" t="s">
        <v>344</v>
      </c>
      <c r="C878" s="3">
        <v>1.75</v>
      </c>
      <c r="D878" s="3"/>
      <c r="E878" s="5">
        <v>0.5</v>
      </c>
      <c r="F878" s="29">
        <f>C878*E878</f>
        <v>0.875</v>
      </c>
    </row>
    <row r="879" spans="1:6" s="1" customFormat="1" ht="15" x14ac:dyDescent="0.2">
      <c r="A879" s="370"/>
      <c r="B879" s="3" t="s">
        <v>345</v>
      </c>
      <c r="C879" s="3">
        <v>1.75</v>
      </c>
      <c r="D879" s="3">
        <v>0.1</v>
      </c>
      <c r="E879" s="5"/>
      <c r="F879" s="29">
        <f>C879*D879</f>
        <v>0.17500000000000002</v>
      </c>
    </row>
    <row r="880" spans="1:6" s="1" customFormat="1" ht="15" x14ac:dyDescent="0.2">
      <c r="A880" s="389" t="s">
        <v>227</v>
      </c>
      <c r="B880" s="390"/>
      <c r="C880" s="390"/>
      <c r="D880" s="390"/>
      <c r="E880" s="391"/>
      <c r="F880" s="29">
        <f>SUM(F876:F879)</f>
        <v>2.1</v>
      </c>
    </row>
    <row r="881" spans="1:6" s="1" customFormat="1" ht="15" x14ac:dyDescent="0.2">
      <c r="A881" s="67"/>
      <c r="B881" s="50"/>
      <c r="C881" s="50"/>
      <c r="D881" s="50"/>
      <c r="E881" s="45"/>
      <c r="F881" s="35"/>
    </row>
    <row r="882" spans="1:6" s="1" customFormat="1" ht="15" x14ac:dyDescent="0.2">
      <c r="A882" s="21" t="s">
        <v>219</v>
      </c>
      <c r="B882" s="2" t="s">
        <v>186</v>
      </c>
      <c r="C882" s="2" t="s">
        <v>346</v>
      </c>
      <c r="D882" s="2" t="s">
        <v>189</v>
      </c>
      <c r="E882" s="2" t="s">
        <v>347</v>
      </c>
      <c r="F882" s="28" t="s">
        <v>194</v>
      </c>
    </row>
    <row r="883" spans="1:6" s="1" customFormat="1" ht="15" x14ac:dyDescent="0.2">
      <c r="A883" s="353" t="s">
        <v>209</v>
      </c>
      <c r="B883" s="3" t="s">
        <v>344</v>
      </c>
      <c r="C883" s="3">
        <v>2.4300000000000002</v>
      </c>
      <c r="D883" s="3"/>
      <c r="E883" s="5">
        <v>0.5</v>
      </c>
      <c r="F883" s="29">
        <f>C883*E883</f>
        <v>1.2150000000000001</v>
      </c>
    </row>
    <row r="884" spans="1:6" s="1" customFormat="1" ht="15" x14ac:dyDescent="0.2">
      <c r="A884" s="370"/>
      <c r="B884" s="3" t="s">
        <v>345</v>
      </c>
      <c r="C884" s="3">
        <v>2.4300000000000002</v>
      </c>
      <c r="D884" s="3">
        <v>0.1</v>
      </c>
      <c r="E884" s="5"/>
      <c r="F884" s="29">
        <f>C884*D884</f>
        <v>0.24300000000000002</v>
      </c>
    </row>
    <row r="885" spans="1:6" s="1" customFormat="1" ht="15" x14ac:dyDescent="0.2">
      <c r="A885" s="353" t="s">
        <v>210</v>
      </c>
      <c r="B885" s="3" t="s">
        <v>344</v>
      </c>
      <c r="C885" s="3">
        <v>2.4300000000000002</v>
      </c>
      <c r="D885" s="3"/>
      <c r="E885" s="5">
        <v>0.5</v>
      </c>
      <c r="F885" s="29">
        <f>C885*E885</f>
        <v>1.2150000000000001</v>
      </c>
    </row>
    <row r="886" spans="1:6" s="1" customFormat="1" ht="15" x14ac:dyDescent="0.2">
      <c r="A886" s="370"/>
      <c r="B886" s="3" t="s">
        <v>345</v>
      </c>
      <c r="C886" s="3">
        <v>2.4300000000000002</v>
      </c>
      <c r="D886" s="3">
        <v>0.1</v>
      </c>
      <c r="E886" s="5"/>
      <c r="F886" s="29">
        <f>C886*D886</f>
        <v>0.24300000000000002</v>
      </c>
    </row>
    <row r="887" spans="1:6" s="1" customFormat="1" ht="15" x14ac:dyDescent="0.2">
      <c r="A887" s="389" t="s">
        <v>227</v>
      </c>
      <c r="B887" s="390"/>
      <c r="C887" s="390"/>
      <c r="D887" s="390"/>
      <c r="E887" s="391"/>
      <c r="F887" s="29">
        <f>SUM(F883:F886)</f>
        <v>2.9159999999999999</v>
      </c>
    </row>
    <row r="888" spans="1:6" s="1" customFormat="1" ht="15" x14ac:dyDescent="0.2">
      <c r="A888" s="67"/>
      <c r="B888" s="50"/>
      <c r="C888" s="50"/>
      <c r="D888" s="50"/>
      <c r="E888" s="45"/>
      <c r="F888" s="35"/>
    </row>
    <row r="889" spans="1:6" s="1" customFormat="1" ht="15" x14ac:dyDescent="0.2">
      <c r="A889" s="394" t="s">
        <v>227</v>
      </c>
      <c r="B889" s="395"/>
      <c r="C889" s="395"/>
      <c r="D889" s="395"/>
      <c r="E889" s="395"/>
      <c r="F889" s="31">
        <f>F879+F887</f>
        <v>3.0909999999999997</v>
      </c>
    </row>
    <row r="890" spans="1:6" s="1" customFormat="1" ht="15" x14ac:dyDescent="0.2">
      <c r="A890" s="67"/>
      <c r="B890" s="50"/>
      <c r="C890" s="50"/>
      <c r="D890" s="50"/>
      <c r="E890" s="45"/>
      <c r="F890" s="35"/>
    </row>
    <row r="891" spans="1:6" ht="26.1" customHeight="1" x14ac:dyDescent="0.2">
      <c r="A891" s="59" t="s">
        <v>470</v>
      </c>
      <c r="B891" s="387" t="s">
        <v>99</v>
      </c>
      <c r="C891" s="387"/>
      <c r="D891" s="387"/>
      <c r="E891" s="7" t="s">
        <v>13</v>
      </c>
      <c r="F891" s="60">
        <f>F910</f>
        <v>12.618000000000002</v>
      </c>
    </row>
    <row r="892" spans="1:6" s="1" customFormat="1" ht="15" x14ac:dyDescent="0.2">
      <c r="A892" s="19"/>
      <c r="B892" s="50"/>
      <c r="C892" s="50"/>
      <c r="D892" s="50"/>
      <c r="E892" s="50"/>
      <c r="F892" s="61"/>
    </row>
    <row r="893" spans="1:6" s="1" customFormat="1" ht="15" x14ac:dyDescent="0.2">
      <c r="A893" s="63" t="s">
        <v>201</v>
      </c>
      <c r="B893" s="2" t="s">
        <v>186</v>
      </c>
      <c r="C893" s="2" t="s">
        <v>187</v>
      </c>
      <c r="D893" s="2" t="s">
        <v>189</v>
      </c>
      <c r="E893" s="2" t="s">
        <v>295</v>
      </c>
      <c r="F893" s="28" t="s">
        <v>194</v>
      </c>
    </row>
    <row r="894" spans="1:6" s="1" customFormat="1" ht="15" x14ac:dyDescent="0.2">
      <c r="A894" s="381" t="s">
        <v>348</v>
      </c>
      <c r="B894" s="3" t="s">
        <v>209</v>
      </c>
      <c r="C894" s="3">
        <v>2.0099999999999998</v>
      </c>
      <c r="D894" s="3">
        <v>0.9</v>
      </c>
      <c r="E894" s="5">
        <v>1</v>
      </c>
      <c r="F894" s="29">
        <f t="shared" ref="F894:F899" si="28">C894*D894*E894</f>
        <v>1.8089999999999999</v>
      </c>
    </row>
    <row r="895" spans="1:6" s="1" customFormat="1" ht="15" x14ac:dyDescent="0.2">
      <c r="A895" s="382"/>
      <c r="B895" s="3" t="s">
        <v>210</v>
      </c>
      <c r="C895" s="3">
        <v>1.1499999999999999</v>
      </c>
      <c r="D895" s="3">
        <v>0.9</v>
      </c>
      <c r="E895" s="5">
        <v>1</v>
      </c>
      <c r="F895" s="29">
        <f t="shared" si="28"/>
        <v>1.0349999999999999</v>
      </c>
    </row>
    <row r="896" spans="1:6" s="1" customFormat="1" ht="15" x14ac:dyDescent="0.2">
      <c r="A896" s="382"/>
      <c r="B896" s="3" t="s">
        <v>331</v>
      </c>
      <c r="C896" s="3">
        <v>1.75</v>
      </c>
      <c r="D896" s="3">
        <v>0.9</v>
      </c>
      <c r="E896" s="5">
        <v>1</v>
      </c>
      <c r="F896" s="29">
        <f t="shared" si="28"/>
        <v>1.575</v>
      </c>
    </row>
    <row r="897" spans="1:6" s="1" customFormat="1" ht="15" x14ac:dyDescent="0.2">
      <c r="A897" s="382"/>
      <c r="B897" s="3" t="s">
        <v>331</v>
      </c>
      <c r="C897" s="3">
        <v>1.75</v>
      </c>
      <c r="D897" s="3">
        <v>0.9</v>
      </c>
      <c r="E897" s="5">
        <v>1</v>
      </c>
      <c r="F897" s="29">
        <f t="shared" si="28"/>
        <v>1.575</v>
      </c>
    </row>
    <row r="898" spans="1:6" s="1" customFormat="1" ht="15" x14ac:dyDescent="0.2">
      <c r="A898" s="382"/>
      <c r="B898" s="3" t="s">
        <v>212</v>
      </c>
      <c r="C898" s="3">
        <v>0.5</v>
      </c>
      <c r="D898" s="3">
        <v>0.9</v>
      </c>
      <c r="E898" s="5">
        <v>1</v>
      </c>
      <c r="F898" s="29">
        <f t="shared" si="28"/>
        <v>0.45</v>
      </c>
    </row>
    <row r="899" spans="1:6" s="1" customFormat="1" ht="15" x14ac:dyDescent="0.2">
      <c r="A899" s="383"/>
      <c r="B899" s="3" t="s">
        <v>212</v>
      </c>
      <c r="C899" s="3">
        <v>0.5</v>
      </c>
      <c r="D899" s="3">
        <v>0.9</v>
      </c>
      <c r="E899" s="5">
        <v>1</v>
      </c>
      <c r="F899" s="29">
        <f t="shared" si="28"/>
        <v>0.45</v>
      </c>
    </row>
    <row r="900" spans="1:6" s="1" customFormat="1" ht="15" x14ac:dyDescent="0.2">
      <c r="A900" s="389" t="s">
        <v>227</v>
      </c>
      <c r="B900" s="390"/>
      <c r="C900" s="390"/>
      <c r="D900" s="390"/>
      <c r="E900" s="391"/>
      <c r="F900" s="29">
        <f>SUM(F894:F899)</f>
        <v>6.8940000000000001</v>
      </c>
    </row>
    <row r="901" spans="1:6" s="1" customFormat="1" ht="15" x14ac:dyDescent="0.2">
      <c r="A901" s="19"/>
      <c r="B901" s="50"/>
      <c r="C901" s="50"/>
      <c r="D901" s="50"/>
      <c r="E901" s="50"/>
      <c r="F901" s="61"/>
    </row>
    <row r="902" spans="1:6" s="1" customFormat="1" ht="15" x14ac:dyDescent="0.2">
      <c r="A902" s="63" t="s">
        <v>219</v>
      </c>
      <c r="B902" s="2" t="s">
        <v>186</v>
      </c>
      <c r="C902" s="2" t="s">
        <v>187</v>
      </c>
      <c r="D902" s="2" t="s">
        <v>189</v>
      </c>
      <c r="E902" s="2" t="s">
        <v>295</v>
      </c>
      <c r="F902" s="28" t="s">
        <v>194</v>
      </c>
    </row>
    <row r="903" spans="1:6" s="1" customFormat="1" ht="15" x14ac:dyDescent="0.2">
      <c r="A903" s="381" t="s">
        <v>348</v>
      </c>
      <c r="B903" s="3" t="s">
        <v>209</v>
      </c>
      <c r="C903" s="3">
        <v>2.4300000000000002</v>
      </c>
      <c r="D903" s="3">
        <v>0.9</v>
      </c>
      <c r="E903" s="5">
        <v>1</v>
      </c>
      <c r="F903" s="29">
        <f>C903*D903*E903</f>
        <v>2.1870000000000003</v>
      </c>
    </row>
    <row r="904" spans="1:6" s="1" customFormat="1" ht="15" x14ac:dyDescent="0.2">
      <c r="A904" s="382"/>
      <c r="B904" s="3" t="s">
        <v>210</v>
      </c>
      <c r="C904" s="3">
        <v>2.4300000000000002</v>
      </c>
      <c r="D904" s="3">
        <v>0.9</v>
      </c>
      <c r="E904" s="5">
        <v>1</v>
      </c>
      <c r="F904" s="29">
        <f>C904*D904*E904</f>
        <v>2.1870000000000003</v>
      </c>
    </row>
    <row r="905" spans="1:6" s="1" customFormat="1" ht="15" x14ac:dyDescent="0.2">
      <c r="A905" s="382"/>
      <c r="B905" s="3" t="s">
        <v>226</v>
      </c>
      <c r="C905" s="3">
        <v>0.5</v>
      </c>
      <c r="D905" s="3">
        <v>0.9</v>
      </c>
      <c r="E905" s="5">
        <v>1</v>
      </c>
      <c r="F905" s="29">
        <f>C905*D905*E905</f>
        <v>0.45</v>
      </c>
    </row>
    <row r="906" spans="1:6" s="1" customFormat="1" ht="15" x14ac:dyDescent="0.2">
      <c r="A906" s="382"/>
      <c r="B906" s="3" t="s">
        <v>226</v>
      </c>
      <c r="C906" s="3">
        <v>0.5</v>
      </c>
      <c r="D906" s="3">
        <v>0.9</v>
      </c>
      <c r="E906" s="5">
        <v>1</v>
      </c>
      <c r="F906" s="29">
        <f>C906*D906*E906</f>
        <v>0.45</v>
      </c>
    </row>
    <row r="907" spans="1:6" s="1" customFormat="1" ht="15" x14ac:dyDescent="0.2">
      <c r="A907" s="382"/>
      <c r="B907" s="3" t="s">
        <v>331</v>
      </c>
      <c r="C907" s="3">
        <v>0.5</v>
      </c>
      <c r="D907" s="3">
        <v>0.9</v>
      </c>
      <c r="E907" s="5">
        <v>1</v>
      </c>
      <c r="F907" s="29">
        <f>C907*D907*E907</f>
        <v>0.45</v>
      </c>
    </row>
    <row r="908" spans="1:6" s="1" customFormat="1" ht="15" x14ac:dyDescent="0.2">
      <c r="A908" s="389" t="s">
        <v>227</v>
      </c>
      <c r="B908" s="390"/>
      <c r="C908" s="390"/>
      <c r="D908" s="390"/>
      <c r="E908" s="391"/>
      <c r="F908" s="29">
        <f>SUM(F903:F907)</f>
        <v>5.7240000000000011</v>
      </c>
    </row>
    <row r="909" spans="1:6" s="1" customFormat="1" ht="15" x14ac:dyDescent="0.2">
      <c r="A909" s="67"/>
      <c r="B909" s="50"/>
      <c r="C909" s="50"/>
      <c r="D909" s="50"/>
      <c r="E909" s="45"/>
      <c r="F909" s="35"/>
    </row>
    <row r="910" spans="1:6" s="1" customFormat="1" ht="15" x14ac:dyDescent="0.2">
      <c r="A910" s="394" t="s">
        <v>227</v>
      </c>
      <c r="B910" s="395"/>
      <c r="C910" s="395"/>
      <c r="D910" s="395"/>
      <c r="E910" s="395"/>
      <c r="F910" s="31">
        <f>F900+F908</f>
        <v>12.618000000000002</v>
      </c>
    </row>
    <row r="911" spans="1:6" s="1" customFormat="1" ht="15" x14ac:dyDescent="0.2">
      <c r="A911" s="19"/>
      <c r="B911" s="50"/>
      <c r="C911" s="50"/>
      <c r="D911" s="50"/>
      <c r="E911" s="50"/>
      <c r="F911" s="61"/>
    </row>
    <row r="912" spans="1:6" ht="24" customHeight="1" x14ac:dyDescent="0.2">
      <c r="A912" s="57" t="s">
        <v>471</v>
      </c>
      <c r="B912" s="388" t="s">
        <v>100</v>
      </c>
      <c r="C912" s="388"/>
      <c r="D912" s="388"/>
      <c r="E912" s="6"/>
      <c r="F912" s="58">
        <v>1</v>
      </c>
    </row>
    <row r="913" spans="1:6" ht="51.95" customHeight="1" x14ac:dyDescent="0.2">
      <c r="A913" s="59" t="s">
        <v>472</v>
      </c>
      <c r="B913" s="387" t="s">
        <v>101</v>
      </c>
      <c r="C913" s="387"/>
      <c r="D913" s="387"/>
      <c r="E913" s="7" t="s">
        <v>33</v>
      </c>
      <c r="F913" s="60">
        <f>D930</f>
        <v>22</v>
      </c>
    </row>
    <row r="914" spans="1:6" s="1" customFormat="1" ht="15" x14ac:dyDescent="0.2">
      <c r="A914" s="19"/>
      <c r="B914" s="50"/>
      <c r="C914" s="50"/>
      <c r="D914" s="50"/>
      <c r="E914" s="50"/>
      <c r="F914" s="61"/>
    </row>
    <row r="915" spans="1:6" s="1" customFormat="1" ht="15" x14ac:dyDescent="0.2">
      <c r="A915" s="63" t="s">
        <v>201</v>
      </c>
      <c r="B915" s="2" t="s">
        <v>186</v>
      </c>
      <c r="C915" s="2" t="s">
        <v>295</v>
      </c>
      <c r="D915" s="2" t="s">
        <v>327</v>
      </c>
      <c r="E915" s="43"/>
      <c r="F915" s="33"/>
    </row>
    <row r="916" spans="1:6" s="1" customFormat="1" ht="15" x14ac:dyDescent="0.2">
      <c r="A916" s="380" t="s">
        <v>349</v>
      </c>
      <c r="B916" s="3" t="s">
        <v>209</v>
      </c>
      <c r="C916" s="3">
        <v>3</v>
      </c>
      <c r="D916" s="379">
        <f>SUM(C916:C921)</f>
        <v>11</v>
      </c>
      <c r="E916" s="45"/>
      <c r="F916" s="34"/>
    </row>
    <row r="917" spans="1:6" s="1" customFormat="1" ht="15" x14ac:dyDescent="0.2">
      <c r="A917" s="380"/>
      <c r="B917" s="3" t="s">
        <v>210</v>
      </c>
      <c r="C917" s="3">
        <v>4</v>
      </c>
      <c r="D917" s="379"/>
      <c r="E917" s="45"/>
      <c r="F917" s="34"/>
    </row>
    <row r="918" spans="1:6" s="1" customFormat="1" ht="15" x14ac:dyDescent="0.2">
      <c r="A918" s="380"/>
      <c r="B918" s="3" t="s">
        <v>331</v>
      </c>
      <c r="C918" s="3">
        <v>1</v>
      </c>
      <c r="D918" s="379"/>
      <c r="E918" s="45"/>
      <c r="F918" s="34"/>
    </row>
    <row r="919" spans="1:6" s="1" customFormat="1" ht="15" x14ac:dyDescent="0.2">
      <c r="A919" s="380"/>
      <c r="B919" s="3" t="s">
        <v>331</v>
      </c>
      <c r="C919" s="3">
        <v>1</v>
      </c>
      <c r="D919" s="379"/>
      <c r="E919" s="45"/>
      <c r="F919" s="34"/>
    </row>
    <row r="920" spans="1:6" s="1" customFormat="1" ht="15" x14ac:dyDescent="0.2">
      <c r="A920" s="380"/>
      <c r="B920" s="3" t="s">
        <v>212</v>
      </c>
      <c r="C920" s="3">
        <v>1</v>
      </c>
      <c r="D920" s="379"/>
      <c r="E920" s="45"/>
      <c r="F920" s="34"/>
    </row>
    <row r="921" spans="1:6" s="1" customFormat="1" ht="15" x14ac:dyDescent="0.2">
      <c r="A921" s="380"/>
      <c r="B921" s="3" t="s">
        <v>212</v>
      </c>
      <c r="C921" s="3">
        <v>1</v>
      </c>
      <c r="D921" s="379"/>
      <c r="E921" s="45"/>
      <c r="F921" s="34"/>
    </row>
    <row r="922" spans="1:6" s="1" customFormat="1" ht="15" x14ac:dyDescent="0.2">
      <c r="A922" s="19"/>
      <c r="B922" s="50"/>
      <c r="C922" s="50"/>
      <c r="D922" s="50"/>
      <c r="E922" s="50"/>
      <c r="F922" s="61"/>
    </row>
    <row r="923" spans="1:6" s="1" customFormat="1" ht="15" x14ac:dyDescent="0.2">
      <c r="A923" s="63" t="s">
        <v>219</v>
      </c>
      <c r="B923" s="2" t="s">
        <v>186</v>
      </c>
      <c r="C923" s="2" t="s">
        <v>295</v>
      </c>
      <c r="D923" s="2" t="s">
        <v>327</v>
      </c>
      <c r="E923" s="43"/>
      <c r="F923" s="33"/>
    </row>
    <row r="924" spans="1:6" s="1" customFormat="1" ht="15" x14ac:dyDescent="0.2">
      <c r="A924" s="380" t="s">
        <v>349</v>
      </c>
      <c r="B924" s="3" t="s">
        <v>209</v>
      </c>
      <c r="C924" s="3">
        <v>4</v>
      </c>
      <c r="D924" s="379">
        <f>SUM(C924:C928)</f>
        <v>11</v>
      </c>
      <c r="E924" s="45"/>
      <c r="F924" s="34"/>
    </row>
    <row r="925" spans="1:6" s="1" customFormat="1" ht="15" x14ac:dyDescent="0.2">
      <c r="A925" s="380"/>
      <c r="B925" s="3" t="s">
        <v>210</v>
      </c>
      <c r="C925" s="3">
        <v>4</v>
      </c>
      <c r="D925" s="379"/>
      <c r="E925" s="45"/>
      <c r="F925" s="34"/>
    </row>
    <row r="926" spans="1:6" s="1" customFormat="1" ht="15" x14ac:dyDescent="0.2">
      <c r="A926" s="380"/>
      <c r="B926" s="3" t="s">
        <v>226</v>
      </c>
      <c r="C926" s="3">
        <v>1</v>
      </c>
      <c r="D926" s="379"/>
      <c r="E926" s="45"/>
      <c r="F926" s="34"/>
    </row>
    <row r="927" spans="1:6" s="1" customFormat="1" ht="15" x14ac:dyDescent="0.2">
      <c r="A927" s="380"/>
      <c r="B927" s="3" t="s">
        <v>226</v>
      </c>
      <c r="C927" s="3">
        <v>1</v>
      </c>
      <c r="D927" s="379"/>
      <c r="E927" s="45"/>
      <c r="F927" s="34"/>
    </row>
    <row r="928" spans="1:6" s="1" customFormat="1" ht="15" x14ac:dyDescent="0.2">
      <c r="A928" s="380"/>
      <c r="B928" s="3" t="s">
        <v>331</v>
      </c>
      <c r="C928" s="3">
        <v>1</v>
      </c>
      <c r="D928" s="379"/>
      <c r="E928" s="45"/>
      <c r="F928" s="34"/>
    </row>
    <row r="929" spans="1:6" s="1" customFormat="1" ht="15" x14ac:dyDescent="0.2">
      <c r="A929" s="67"/>
      <c r="B929" s="50"/>
      <c r="C929" s="50"/>
      <c r="D929" s="50"/>
      <c r="E929" s="45"/>
      <c r="F929" s="35"/>
    </row>
    <row r="930" spans="1:6" s="1" customFormat="1" ht="15" x14ac:dyDescent="0.2">
      <c r="A930" s="384" t="s">
        <v>227</v>
      </c>
      <c r="B930" s="385"/>
      <c r="C930" s="386"/>
      <c r="D930" s="13">
        <f>D916+D924</f>
        <v>22</v>
      </c>
      <c r="E930" s="71"/>
      <c r="F930" s="35"/>
    </row>
    <row r="931" spans="1:6" s="1" customFormat="1" ht="15" x14ac:dyDescent="0.2">
      <c r="A931" s="19"/>
      <c r="B931" s="50"/>
      <c r="C931" s="50"/>
      <c r="D931" s="50"/>
      <c r="E931" s="50"/>
      <c r="F931" s="61"/>
    </row>
    <row r="932" spans="1:6" ht="39" customHeight="1" x14ac:dyDescent="0.2">
      <c r="A932" s="59" t="s">
        <v>473</v>
      </c>
      <c r="B932" s="387" t="s">
        <v>102</v>
      </c>
      <c r="C932" s="387"/>
      <c r="D932" s="387"/>
      <c r="E932" s="7" t="s">
        <v>33</v>
      </c>
      <c r="F932" s="60">
        <f>D945</f>
        <v>12</v>
      </c>
    </row>
    <row r="933" spans="1:6" s="1" customFormat="1" ht="15" x14ac:dyDescent="0.2">
      <c r="A933" s="19"/>
      <c r="B933" s="50"/>
      <c r="C933" s="50"/>
      <c r="D933" s="50"/>
      <c r="E933" s="50"/>
      <c r="F933" s="61"/>
    </row>
    <row r="934" spans="1:6" s="1" customFormat="1" ht="15" x14ac:dyDescent="0.2">
      <c r="A934" s="63" t="s">
        <v>201</v>
      </c>
      <c r="B934" s="2" t="s">
        <v>186</v>
      </c>
      <c r="C934" s="2" t="s">
        <v>295</v>
      </c>
      <c r="D934" s="2" t="s">
        <v>327</v>
      </c>
      <c r="E934" s="43"/>
      <c r="F934" s="33"/>
    </row>
    <row r="935" spans="1:6" s="1" customFormat="1" ht="15" x14ac:dyDescent="0.2">
      <c r="A935" s="380" t="s">
        <v>350</v>
      </c>
      <c r="B935" s="3" t="s">
        <v>209</v>
      </c>
      <c r="C935" s="3">
        <v>3</v>
      </c>
      <c r="D935" s="379">
        <f>SUM(C935:C938)</f>
        <v>9</v>
      </c>
      <c r="E935" s="45"/>
      <c r="F935" s="34"/>
    </row>
    <row r="936" spans="1:6" s="1" customFormat="1" ht="15" x14ac:dyDescent="0.2">
      <c r="A936" s="380"/>
      <c r="B936" s="3" t="s">
        <v>210</v>
      </c>
      <c r="C936" s="3">
        <v>4</v>
      </c>
      <c r="D936" s="379"/>
      <c r="E936" s="45"/>
      <c r="F936" s="34"/>
    </row>
    <row r="937" spans="1:6" s="1" customFormat="1" ht="15" x14ac:dyDescent="0.2">
      <c r="A937" s="380"/>
      <c r="B937" s="3" t="s">
        <v>212</v>
      </c>
      <c r="C937" s="3">
        <v>1</v>
      </c>
      <c r="D937" s="379"/>
      <c r="E937" s="45"/>
      <c r="F937" s="34"/>
    </row>
    <row r="938" spans="1:6" s="1" customFormat="1" ht="15" x14ac:dyDescent="0.2">
      <c r="A938" s="380"/>
      <c r="B938" s="3" t="s">
        <v>212</v>
      </c>
      <c r="C938" s="3">
        <v>1</v>
      </c>
      <c r="D938" s="379"/>
      <c r="E938" s="45"/>
      <c r="F938" s="34"/>
    </row>
    <row r="939" spans="1:6" s="1" customFormat="1" ht="15" x14ac:dyDescent="0.2">
      <c r="A939" s="19"/>
      <c r="B939" s="50"/>
      <c r="C939" s="50"/>
      <c r="D939" s="50"/>
      <c r="E939" s="50"/>
      <c r="F939" s="61"/>
    </row>
    <row r="940" spans="1:6" s="1" customFormat="1" ht="15" x14ac:dyDescent="0.2">
      <c r="A940" s="63" t="s">
        <v>219</v>
      </c>
      <c r="B940" s="2" t="s">
        <v>186</v>
      </c>
      <c r="C940" s="2" t="s">
        <v>295</v>
      </c>
      <c r="D940" s="2" t="s">
        <v>327</v>
      </c>
      <c r="E940" s="43"/>
      <c r="F940" s="33"/>
    </row>
    <row r="941" spans="1:6" s="1" customFormat="1" ht="15" x14ac:dyDescent="0.2">
      <c r="A941" s="380" t="s">
        <v>350</v>
      </c>
      <c r="B941" s="3" t="s">
        <v>226</v>
      </c>
      <c r="C941" s="3">
        <v>1</v>
      </c>
      <c r="D941" s="379">
        <f>SUM(C941:C943)</f>
        <v>3</v>
      </c>
      <c r="E941" s="45"/>
      <c r="F941" s="34"/>
    </row>
    <row r="942" spans="1:6" s="1" customFormat="1" ht="15" x14ac:dyDescent="0.2">
      <c r="A942" s="380"/>
      <c r="B942" s="3" t="s">
        <v>226</v>
      </c>
      <c r="C942" s="3">
        <v>1</v>
      </c>
      <c r="D942" s="379"/>
      <c r="E942" s="45"/>
      <c r="F942" s="34"/>
    </row>
    <row r="943" spans="1:6" s="1" customFormat="1" ht="15" x14ac:dyDescent="0.2">
      <c r="A943" s="380"/>
      <c r="B943" s="3" t="s">
        <v>331</v>
      </c>
      <c r="C943" s="3">
        <v>1</v>
      </c>
      <c r="D943" s="379"/>
      <c r="E943" s="45"/>
      <c r="F943" s="34"/>
    </row>
    <row r="944" spans="1:6" s="1" customFormat="1" ht="15" x14ac:dyDescent="0.2">
      <c r="A944" s="67"/>
      <c r="B944" s="50"/>
      <c r="C944" s="50"/>
      <c r="D944" s="50"/>
      <c r="E944" s="45"/>
      <c r="F944" s="35"/>
    </row>
    <row r="945" spans="1:6" s="1" customFormat="1" ht="15" x14ac:dyDescent="0.2">
      <c r="A945" s="384" t="s">
        <v>227</v>
      </c>
      <c r="B945" s="385"/>
      <c r="C945" s="386"/>
      <c r="D945" s="13">
        <f>D935+D941</f>
        <v>12</v>
      </c>
      <c r="E945" s="71"/>
      <c r="F945" s="35"/>
    </row>
    <row r="946" spans="1:6" s="1" customFormat="1" ht="15" x14ac:dyDescent="0.2">
      <c r="A946" s="19"/>
      <c r="B946" s="50"/>
      <c r="C946" s="50"/>
      <c r="D946" s="50"/>
      <c r="E946" s="50"/>
      <c r="F946" s="61"/>
    </row>
    <row r="947" spans="1:6" ht="51.95" customHeight="1" x14ac:dyDescent="0.2">
      <c r="A947" s="59" t="s">
        <v>474</v>
      </c>
      <c r="B947" s="387" t="s">
        <v>103</v>
      </c>
      <c r="C947" s="387"/>
      <c r="D947" s="387"/>
      <c r="E947" s="7" t="s">
        <v>33</v>
      </c>
      <c r="F947" s="60">
        <f>D957</f>
        <v>10</v>
      </c>
    </row>
    <row r="948" spans="1:6" s="1" customFormat="1" ht="15" x14ac:dyDescent="0.2">
      <c r="A948" s="19"/>
      <c r="B948" s="50"/>
      <c r="C948" s="50"/>
      <c r="D948" s="50"/>
      <c r="E948" s="50"/>
      <c r="F948" s="61"/>
    </row>
    <row r="949" spans="1:6" s="1" customFormat="1" ht="15" x14ac:dyDescent="0.2">
      <c r="A949" s="63" t="s">
        <v>201</v>
      </c>
      <c r="B949" s="2" t="s">
        <v>186</v>
      </c>
      <c r="C949" s="2" t="s">
        <v>295</v>
      </c>
      <c r="D949" s="2" t="s">
        <v>327</v>
      </c>
      <c r="E949" s="43"/>
      <c r="F949" s="33"/>
    </row>
    <row r="950" spans="1:6" s="1" customFormat="1" ht="15" x14ac:dyDescent="0.2">
      <c r="A950" s="380" t="s">
        <v>350</v>
      </c>
      <c r="B950" s="3" t="s">
        <v>331</v>
      </c>
      <c r="C950" s="3">
        <v>2</v>
      </c>
      <c r="D950" s="379">
        <f>SUM(C950:C951)</f>
        <v>4</v>
      </c>
      <c r="E950" s="45"/>
      <c r="F950" s="34"/>
    </row>
    <row r="951" spans="1:6" s="1" customFormat="1" ht="15" x14ac:dyDescent="0.2">
      <c r="A951" s="380"/>
      <c r="B951" s="3" t="s">
        <v>331</v>
      </c>
      <c r="C951" s="3">
        <v>2</v>
      </c>
      <c r="D951" s="379"/>
      <c r="E951" s="45"/>
      <c r="F951" s="34"/>
    </row>
    <row r="952" spans="1:6" s="1" customFormat="1" ht="15" x14ac:dyDescent="0.2">
      <c r="A952" s="19"/>
      <c r="B952" s="50"/>
      <c r="C952" s="50"/>
      <c r="D952" s="50"/>
      <c r="E952" s="50"/>
      <c r="F952" s="61"/>
    </row>
    <row r="953" spans="1:6" s="1" customFormat="1" ht="15" x14ac:dyDescent="0.2">
      <c r="A953" s="63" t="s">
        <v>219</v>
      </c>
      <c r="B953" s="2" t="s">
        <v>186</v>
      </c>
      <c r="C953" s="2" t="s">
        <v>295</v>
      </c>
      <c r="D953" s="2" t="s">
        <v>327</v>
      </c>
      <c r="E953" s="43"/>
      <c r="F953" s="33"/>
    </row>
    <row r="954" spans="1:6" s="1" customFormat="1" ht="15" x14ac:dyDescent="0.2">
      <c r="A954" s="380" t="s">
        <v>350</v>
      </c>
      <c r="B954" s="3" t="s">
        <v>209</v>
      </c>
      <c r="C954" s="3">
        <v>3</v>
      </c>
      <c r="D954" s="379">
        <f>SUM(C954:C955)</f>
        <v>6</v>
      </c>
      <c r="E954" s="45"/>
      <c r="F954" s="34"/>
    </row>
    <row r="955" spans="1:6" s="1" customFormat="1" ht="15" x14ac:dyDescent="0.2">
      <c r="A955" s="380"/>
      <c r="B955" s="3" t="s">
        <v>210</v>
      </c>
      <c r="C955" s="3">
        <v>3</v>
      </c>
      <c r="D955" s="379"/>
      <c r="E955" s="45"/>
      <c r="F955" s="34"/>
    </row>
    <row r="956" spans="1:6" s="1" customFormat="1" ht="15" x14ac:dyDescent="0.2">
      <c r="A956" s="67"/>
      <c r="B956" s="50"/>
      <c r="C956" s="50"/>
      <c r="D956" s="50"/>
      <c r="E956" s="45"/>
      <c r="F956" s="35"/>
    </row>
    <row r="957" spans="1:6" s="1" customFormat="1" ht="15" x14ac:dyDescent="0.2">
      <c r="A957" s="384" t="s">
        <v>227</v>
      </c>
      <c r="B957" s="385"/>
      <c r="C957" s="386"/>
      <c r="D957" s="13">
        <f>D950+D954</f>
        <v>10</v>
      </c>
      <c r="E957" s="71"/>
      <c r="F957" s="35"/>
    </row>
    <row r="958" spans="1:6" s="1" customFormat="1" ht="15" x14ac:dyDescent="0.2">
      <c r="A958" s="19"/>
      <c r="B958" s="50"/>
      <c r="C958" s="50"/>
      <c r="D958" s="50"/>
      <c r="E958" s="50"/>
      <c r="F958" s="61"/>
    </row>
    <row r="959" spans="1:6" ht="26.1" customHeight="1" x14ac:dyDescent="0.2">
      <c r="A959" s="59" t="s">
        <v>475</v>
      </c>
      <c r="B959" s="387" t="s">
        <v>104</v>
      </c>
      <c r="C959" s="387"/>
      <c r="D959" s="387"/>
      <c r="E959" s="7" t="s">
        <v>33</v>
      </c>
      <c r="F959" s="60">
        <f>D972</f>
        <v>12</v>
      </c>
    </row>
    <row r="960" spans="1:6" s="1" customFormat="1" ht="15" x14ac:dyDescent="0.2">
      <c r="A960" s="19"/>
      <c r="B960" s="50"/>
      <c r="C960" s="50"/>
      <c r="D960" s="50"/>
      <c r="E960" s="50"/>
      <c r="F960" s="61"/>
    </row>
    <row r="961" spans="1:6" s="1" customFormat="1" ht="15" x14ac:dyDescent="0.2">
      <c r="A961" s="63" t="s">
        <v>201</v>
      </c>
      <c r="B961" s="2" t="s">
        <v>186</v>
      </c>
      <c r="C961" s="2" t="s">
        <v>295</v>
      </c>
      <c r="D961" s="2" t="s">
        <v>327</v>
      </c>
      <c r="E961" s="43"/>
      <c r="F961" s="33"/>
    </row>
    <row r="962" spans="1:6" s="1" customFormat="1" ht="15" x14ac:dyDescent="0.2">
      <c r="A962" s="380" t="s">
        <v>351</v>
      </c>
      <c r="B962" s="3" t="s">
        <v>209</v>
      </c>
      <c r="C962" s="3">
        <v>3</v>
      </c>
      <c r="D962" s="379">
        <f>SUM(C962:C965)</f>
        <v>9</v>
      </c>
      <c r="E962" s="45"/>
      <c r="F962" s="34"/>
    </row>
    <row r="963" spans="1:6" s="1" customFormat="1" ht="15" x14ac:dyDescent="0.2">
      <c r="A963" s="380"/>
      <c r="B963" s="3" t="s">
        <v>210</v>
      </c>
      <c r="C963" s="3">
        <v>4</v>
      </c>
      <c r="D963" s="379"/>
      <c r="E963" s="45"/>
      <c r="F963" s="34"/>
    </row>
    <row r="964" spans="1:6" s="1" customFormat="1" ht="15" x14ac:dyDescent="0.2">
      <c r="A964" s="380"/>
      <c r="B964" s="3" t="s">
        <v>212</v>
      </c>
      <c r="C964" s="3">
        <v>1</v>
      </c>
      <c r="D964" s="379"/>
      <c r="E964" s="45"/>
      <c r="F964" s="34"/>
    </row>
    <row r="965" spans="1:6" s="1" customFormat="1" ht="15" x14ac:dyDescent="0.2">
      <c r="A965" s="380"/>
      <c r="B965" s="3" t="s">
        <v>212</v>
      </c>
      <c r="C965" s="3">
        <v>1</v>
      </c>
      <c r="D965" s="379"/>
      <c r="E965" s="45"/>
      <c r="F965" s="34"/>
    </row>
    <row r="966" spans="1:6" s="1" customFormat="1" ht="15" x14ac:dyDescent="0.2">
      <c r="A966" s="19"/>
      <c r="B966" s="50"/>
      <c r="C966" s="50"/>
      <c r="D966" s="50"/>
      <c r="E966" s="50"/>
      <c r="F966" s="61"/>
    </row>
    <row r="967" spans="1:6" s="1" customFormat="1" ht="15" x14ac:dyDescent="0.2">
      <c r="A967" s="63" t="s">
        <v>219</v>
      </c>
      <c r="B967" s="2" t="s">
        <v>186</v>
      </c>
      <c r="C967" s="2" t="s">
        <v>295</v>
      </c>
      <c r="D967" s="2" t="s">
        <v>327</v>
      </c>
      <c r="E967" s="43"/>
      <c r="F967" s="33"/>
    </row>
    <row r="968" spans="1:6" s="1" customFormat="1" ht="15" x14ac:dyDescent="0.2">
      <c r="A968" s="381" t="s">
        <v>351</v>
      </c>
      <c r="B968" s="3" t="s">
        <v>226</v>
      </c>
      <c r="C968" s="3">
        <v>1</v>
      </c>
      <c r="D968" s="379">
        <f>SUM(C968:C970)</f>
        <v>3</v>
      </c>
      <c r="E968" s="45"/>
      <c r="F968" s="34"/>
    </row>
    <row r="969" spans="1:6" s="1" customFormat="1" ht="15" x14ac:dyDescent="0.2">
      <c r="A969" s="382"/>
      <c r="B969" s="3" t="s">
        <v>226</v>
      </c>
      <c r="C969" s="3">
        <v>1</v>
      </c>
      <c r="D969" s="379"/>
      <c r="E969" s="45"/>
      <c r="F969" s="34"/>
    </row>
    <row r="970" spans="1:6" s="1" customFormat="1" ht="15" x14ac:dyDescent="0.2">
      <c r="A970" s="383"/>
      <c r="B970" s="3" t="s">
        <v>331</v>
      </c>
      <c r="C970" s="3">
        <v>1</v>
      </c>
      <c r="D970" s="379"/>
      <c r="E970" s="45"/>
      <c r="F970" s="34"/>
    </row>
    <row r="971" spans="1:6" s="1" customFormat="1" ht="15" x14ac:dyDescent="0.2">
      <c r="A971" s="67"/>
      <c r="B971" s="50"/>
      <c r="C971" s="50"/>
      <c r="D971" s="50"/>
      <c r="E971" s="45"/>
      <c r="F971" s="35"/>
    </row>
    <row r="972" spans="1:6" s="1" customFormat="1" ht="15" x14ac:dyDescent="0.2">
      <c r="A972" s="384" t="s">
        <v>227</v>
      </c>
      <c r="B972" s="385"/>
      <c r="C972" s="386"/>
      <c r="D972" s="13">
        <f>D962+D968</f>
        <v>12</v>
      </c>
      <c r="E972" s="71"/>
      <c r="F972" s="35"/>
    </row>
    <row r="973" spans="1:6" s="1" customFormat="1" ht="15" x14ac:dyDescent="0.2">
      <c r="A973" s="19"/>
      <c r="B973" s="50"/>
      <c r="C973" s="50"/>
      <c r="D973" s="50"/>
      <c r="E973" s="50"/>
      <c r="F973" s="61"/>
    </row>
    <row r="974" spans="1:6" ht="39" customHeight="1" x14ac:dyDescent="0.2">
      <c r="A974" s="59" t="s">
        <v>476</v>
      </c>
      <c r="B974" s="387" t="s">
        <v>105</v>
      </c>
      <c r="C974" s="387"/>
      <c r="D974" s="387"/>
      <c r="E974" s="7" t="s">
        <v>33</v>
      </c>
      <c r="F974" s="60">
        <f>D987</f>
        <v>12</v>
      </c>
    </row>
    <row r="975" spans="1:6" s="1" customFormat="1" ht="15" x14ac:dyDescent="0.2">
      <c r="A975" s="19"/>
      <c r="B975" s="50"/>
      <c r="C975" s="50"/>
      <c r="D975" s="50"/>
      <c r="E975" s="50"/>
      <c r="F975" s="61"/>
    </row>
    <row r="976" spans="1:6" s="1" customFormat="1" ht="15" x14ac:dyDescent="0.2">
      <c r="A976" s="63" t="s">
        <v>201</v>
      </c>
      <c r="B976" s="2" t="s">
        <v>186</v>
      </c>
      <c r="C976" s="2" t="s">
        <v>295</v>
      </c>
      <c r="D976" s="2" t="s">
        <v>327</v>
      </c>
      <c r="E976" s="43"/>
      <c r="F976" s="33"/>
    </row>
    <row r="977" spans="1:6" s="1" customFormat="1" ht="15" x14ac:dyDescent="0.2">
      <c r="A977" s="381" t="s">
        <v>352</v>
      </c>
      <c r="B977" s="3" t="s">
        <v>209</v>
      </c>
      <c r="C977" s="3">
        <v>3</v>
      </c>
      <c r="D977" s="351">
        <f>SUM(C977:C980)</f>
        <v>9</v>
      </c>
      <c r="E977" s="45"/>
      <c r="F977" s="34"/>
    </row>
    <row r="978" spans="1:6" s="1" customFormat="1" ht="15" x14ac:dyDescent="0.2">
      <c r="A978" s="382"/>
      <c r="B978" s="3" t="s">
        <v>210</v>
      </c>
      <c r="C978" s="3">
        <v>4</v>
      </c>
      <c r="D978" s="371"/>
      <c r="E978" s="45"/>
      <c r="F978" s="34"/>
    </row>
    <row r="979" spans="1:6" s="1" customFormat="1" ht="15" x14ac:dyDescent="0.2">
      <c r="A979" s="382"/>
      <c r="B979" s="3" t="s">
        <v>212</v>
      </c>
      <c r="C979" s="3">
        <v>1</v>
      </c>
      <c r="D979" s="371"/>
      <c r="E979" s="45"/>
      <c r="F979" s="34"/>
    </row>
    <row r="980" spans="1:6" s="1" customFormat="1" ht="15" x14ac:dyDescent="0.2">
      <c r="A980" s="383"/>
      <c r="B980" s="3" t="s">
        <v>212</v>
      </c>
      <c r="C980" s="3">
        <v>1</v>
      </c>
      <c r="D980" s="352"/>
      <c r="E980" s="45"/>
      <c r="F980" s="34"/>
    </row>
    <row r="981" spans="1:6" s="1" customFormat="1" ht="15" x14ac:dyDescent="0.2">
      <c r="A981" s="19"/>
      <c r="B981" s="50"/>
      <c r="C981" s="50"/>
      <c r="D981" s="50"/>
      <c r="E981" s="50"/>
      <c r="F981" s="61"/>
    </row>
    <row r="982" spans="1:6" s="1" customFormat="1" ht="15" x14ac:dyDescent="0.2">
      <c r="A982" s="63" t="s">
        <v>219</v>
      </c>
      <c r="B982" s="2" t="s">
        <v>186</v>
      </c>
      <c r="C982" s="2" t="s">
        <v>295</v>
      </c>
      <c r="D982" s="2" t="s">
        <v>327</v>
      </c>
      <c r="E982" s="43"/>
      <c r="F982" s="33"/>
    </row>
    <row r="983" spans="1:6" s="1" customFormat="1" ht="15" x14ac:dyDescent="0.2">
      <c r="A983" s="380" t="s">
        <v>352</v>
      </c>
      <c r="B983" s="3" t="s">
        <v>226</v>
      </c>
      <c r="C983" s="3">
        <v>1</v>
      </c>
      <c r="D983" s="379">
        <f>SUM(C983:C985)</f>
        <v>3</v>
      </c>
      <c r="E983" s="45"/>
      <c r="F983" s="34"/>
    </row>
    <row r="984" spans="1:6" s="1" customFormat="1" ht="15" x14ac:dyDescent="0.2">
      <c r="A984" s="380"/>
      <c r="B984" s="3" t="s">
        <v>226</v>
      </c>
      <c r="C984" s="3">
        <v>1</v>
      </c>
      <c r="D984" s="379"/>
      <c r="E984" s="45"/>
      <c r="F984" s="34"/>
    </row>
    <row r="985" spans="1:6" s="1" customFormat="1" ht="15" x14ac:dyDescent="0.2">
      <c r="A985" s="380"/>
      <c r="B985" s="3" t="s">
        <v>331</v>
      </c>
      <c r="C985" s="3">
        <v>1</v>
      </c>
      <c r="D985" s="379"/>
      <c r="E985" s="45"/>
      <c r="F985" s="34"/>
    </row>
    <row r="986" spans="1:6" s="1" customFormat="1" ht="15" x14ac:dyDescent="0.2">
      <c r="A986" s="67"/>
      <c r="B986" s="50"/>
      <c r="C986" s="50"/>
      <c r="D986" s="50"/>
      <c r="E986" s="45"/>
      <c r="F986" s="35"/>
    </row>
    <row r="987" spans="1:6" s="1" customFormat="1" ht="15" x14ac:dyDescent="0.2">
      <c r="A987" s="384" t="s">
        <v>227</v>
      </c>
      <c r="B987" s="385"/>
      <c r="C987" s="386"/>
      <c r="D987" s="13">
        <f>D977+D983</f>
        <v>12</v>
      </c>
      <c r="E987" s="71"/>
      <c r="F987" s="35"/>
    </row>
    <row r="988" spans="1:6" s="1" customFormat="1" ht="15" x14ac:dyDescent="0.2">
      <c r="A988" s="19"/>
      <c r="B988" s="50"/>
      <c r="C988" s="50"/>
      <c r="D988" s="50"/>
      <c r="E988" s="50"/>
      <c r="F988" s="61"/>
    </row>
    <row r="989" spans="1:6" ht="26.1" customHeight="1" x14ac:dyDescent="0.2">
      <c r="A989" s="59" t="s">
        <v>477</v>
      </c>
      <c r="B989" s="387" t="s">
        <v>106</v>
      </c>
      <c r="C989" s="387"/>
      <c r="D989" s="387"/>
      <c r="E989" s="7" t="s">
        <v>16</v>
      </c>
      <c r="F989" s="60">
        <f>D1006</f>
        <v>22</v>
      </c>
    </row>
    <row r="990" spans="1:6" s="1" customFormat="1" ht="15" x14ac:dyDescent="0.2">
      <c r="A990" s="19"/>
      <c r="B990" s="50"/>
      <c r="C990" s="50"/>
      <c r="D990" s="50"/>
      <c r="E990" s="50"/>
      <c r="F990" s="61"/>
    </row>
    <row r="991" spans="1:6" s="1" customFormat="1" ht="15" x14ac:dyDescent="0.2">
      <c r="A991" s="63" t="s">
        <v>201</v>
      </c>
      <c r="B991" s="2" t="s">
        <v>186</v>
      </c>
      <c r="C991" s="2" t="s">
        <v>295</v>
      </c>
      <c r="D991" s="2" t="s">
        <v>327</v>
      </c>
      <c r="E991" s="43"/>
      <c r="F991" s="33"/>
    </row>
    <row r="992" spans="1:6" s="1" customFormat="1" ht="15" x14ac:dyDescent="0.2">
      <c r="A992" s="381" t="s">
        <v>353</v>
      </c>
      <c r="B992" s="3" t="s">
        <v>209</v>
      </c>
      <c r="C992" s="3">
        <v>3</v>
      </c>
      <c r="D992" s="351">
        <f>SUM(C992:C997)</f>
        <v>13</v>
      </c>
      <c r="E992" s="45"/>
      <c r="F992" s="34"/>
    </row>
    <row r="993" spans="1:6" s="1" customFormat="1" ht="15" x14ac:dyDescent="0.2">
      <c r="A993" s="382"/>
      <c r="B993" s="3" t="s">
        <v>210</v>
      </c>
      <c r="C993" s="3">
        <v>4</v>
      </c>
      <c r="D993" s="371"/>
      <c r="E993" s="45"/>
      <c r="F993" s="34"/>
    </row>
    <row r="994" spans="1:6" s="1" customFormat="1" ht="15" x14ac:dyDescent="0.2">
      <c r="A994" s="382"/>
      <c r="B994" s="3" t="s">
        <v>212</v>
      </c>
      <c r="C994" s="3">
        <v>1</v>
      </c>
      <c r="D994" s="371"/>
      <c r="E994" s="45"/>
      <c r="F994" s="34"/>
    </row>
    <row r="995" spans="1:6" s="1" customFormat="1" ht="15" x14ac:dyDescent="0.2">
      <c r="A995" s="382"/>
      <c r="B995" s="3" t="s">
        <v>212</v>
      </c>
      <c r="C995" s="3">
        <v>1</v>
      </c>
      <c r="D995" s="371"/>
      <c r="E995" s="45"/>
      <c r="F995" s="34"/>
    </row>
    <row r="996" spans="1:6" s="1" customFormat="1" ht="15" x14ac:dyDescent="0.2">
      <c r="A996" s="382"/>
      <c r="B996" s="3" t="s">
        <v>331</v>
      </c>
      <c r="C996" s="3">
        <v>2</v>
      </c>
      <c r="D996" s="371"/>
      <c r="E996" s="45"/>
      <c r="F996" s="34"/>
    </row>
    <row r="997" spans="1:6" s="1" customFormat="1" ht="15" x14ac:dyDescent="0.2">
      <c r="A997" s="383"/>
      <c r="B997" s="3" t="s">
        <v>331</v>
      </c>
      <c r="C997" s="3">
        <v>2</v>
      </c>
      <c r="D997" s="352"/>
      <c r="E997" s="45"/>
      <c r="F997" s="34"/>
    </row>
    <row r="998" spans="1:6" s="1" customFormat="1" ht="15" x14ac:dyDescent="0.2">
      <c r="A998" s="19"/>
      <c r="B998" s="50"/>
      <c r="C998" s="50"/>
      <c r="D998" s="50"/>
      <c r="E998" s="50"/>
      <c r="F998" s="61"/>
    </row>
    <row r="999" spans="1:6" s="1" customFormat="1" ht="15" x14ac:dyDescent="0.2">
      <c r="A999" s="63" t="s">
        <v>219</v>
      </c>
      <c r="B999" s="2" t="s">
        <v>186</v>
      </c>
      <c r="C999" s="2" t="s">
        <v>295</v>
      </c>
      <c r="D999" s="2" t="s">
        <v>327</v>
      </c>
      <c r="E999" s="43"/>
      <c r="F999" s="33"/>
    </row>
    <row r="1000" spans="1:6" s="1" customFormat="1" ht="15" x14ac:dyDescent="0.2">
      <c r="A1000" s="381" t="s">
        <v>353</v>
      </c>
      <c r="B1000" s="3" t="s">
        <v>226</v>
      </c>
      <c r="C1000" s="3">
        <v>1</v>
      </c>
      <c r="D1000" s="351">
        <f>SUM(C1000:C1004)</f>
        <v>9</v>
      </c>
      <c r="E1000" s="45"/>
      <c r="F1000" s="34"/>
    </row>
    <row r="1001" spans="1:6" s="1" customFormat="1" ht="15" x14ac:dyDescent="0.2">
      <c r="A1001" s="382"/>
      <c r="B1001" s="3" t="s">
        <v>226</v>
      </c>
      <c r="C1001" s="3">
        <v>1</v>
      </c>
      <c r="D1001" s="371"/>
      <c r="E1001" s="45"/>
      <c r="F1001" s="34"/>
    </row>
    <row r="1002" spans="1:6" s="1" customFormat="1" ht="15" x14ac:dyDescent="0.2">
      <c r="A1002" s="382"/>
      <c r="B1002" s="3" t="s">
        <v>331</v>
      </c>
      <c r="C1002" s="3">
        <v>1</v>
      </c>
      <c r="D1002" s="371"/>
      <c r="E1002" s="45"/>
      <c r="F1002" s="34"/>
    </row>
    <row r="1003" spans="1:6" s="1" customFormat="1" ht="15" x14ac:dyDescent="0.2">
      <c r="A1003" s="382"/>
      <c r="B1003" s="3" t="s">
        <v>209</v>
      </c>
      <c r="C1003" s="3">
        <v>3</v>
      </c>
      <c r="D1003" s="371"/>
      <c r="E1003" s="45"/>
      <c r="F1003" s="34"/>
    </row>
    <row r="1004" spans="1:6" s="1" customFormat="1" ht="15" x14ac:dyDescent="0.2">
      <c r="A1004" s="383"/>
      <c r="B1004" s="3" t="s">
        <v>210</v>
      </c>
      <c r="C1004" s="3">
        <v>3</v>
      </c>
      <c r="D1004" s="352"/>
      <c r="E1004" s="45"/>
      <c r="F1004" s="34"/>
    </row>
    <row r="1005" spans="1:6" s="1" customFormat="1" ht="15" x14ac:dyDescent="0.2">
      <c r="A1005" s="67"/>
      <c r="B1005" s="50"/>
      <c r="C1005" s="50"/>
      <c r="D1005" s="50"/>
      <c r="E1005" s="45"/>
      <c r="F1005" s="35"/>
    </row>
    <row r="1006" spans="1:6" s="1" customFormat="1" ht="15" x14ac:dyDescent="0.2">
      <c r="A1006" s="384" t="s">
        <v>227</v>
      </c>
      <c r="B1006" s="385"/>
      <c r="C1006" s="386"/>
      <c r="D1006" s="13">
        <f>D992+D1000</f>
        <v>22</v>
      </c>
      <c r="E1006" s="71"/>
      <c r="F1006" s="35"/>
    </row>
    <row r="1007" spans="1:6" s="1" customFormat="1" ht="15" x14ac:dyDescent="0.2">
      <c r="A1007" s="19"/>
      <c r="B1007" s="50"/>
      <c r="C1007" s="50"/>
      <c r="D1007" s="50"/>
      <c r="E1007" s="50"/>
      <c r="F1007" s="61"/>
    </row>
    <row r="1008" spans="1:6" ht="24" customHeight="1" x14ac:dyDescent="0.2">
      <c r="A1008" s="57" t="s">
        <v>980</v>
      </c>
      <c r="B1008" s="388" t="s">
        <v>659</v>
      </c>
      <c r="C1008" s="388"/>
      <c r="D1008" s="388"/>
      <c r="E1008" s="6"/>
      <c r="F1008" s="58">
        <v>1</v>
      </c>
    </row>
    <row r="1009" spans="1:6" s="1" customFormat="1" ht="15" x14ac:dyDescent="0.2">
      <c r="A1009" s="356" t="s">
        <v>981</v>
      </c>
      <c r="B1009" s="357"/>
      <c r="C1009" s="357"/>
      <c r="D1009" s="357"/>
      <c r="E1009" s="357"/>
      <c r="F1009" s="358"/>
    </row>
    <row r="1010" spans="1:6" ht="31.5" customHeight="1" x14ac:dyDescent="0.2">
      <c r="A1010" s="80" t="s">
        <v>967</v>
      </c>
      <c r="B1010" s="424" t="s">
        <v>667</v>
      </c>
      <c r="C1010" s="425"/>
      <c r="D1010" s="426"/>
      <c r="E1010" s="25" t="s">
        <v>33</v>
      </c>
      <c r="F1010" s="93">
        <v>1</v>
      </c>
    </row>
    <row r="1011" spans="1:6" ht="39" customHeight="1" x14ac:dyDescent="0.2">
      <c r="A1011" s="80" t="s">
        <v>966</v>
      </c>
      <c r="B1011" s="424" t="s">
        <v>935</v>
      </c>
      <c r="C1011" s="425"/>
      <c r="D1011" s="426"/>
      <c r="E1011" s="25" t="s">
        <v>33</v>
      </c>
      <c r="F1011" s="93">
        <v>1</v>
      </c>
    </row>
    <row r="1012" spans="1:6" ht="39" customHeight="1" x14ac:dyDescent="0.2">
      <c r="A1012" s="80" t="s">
        <v>965</v>
      </c>
      <c r="B1012" s="424" t="s">
        <v>934</v>
      </c>
      <c r="C1012" s="425"/>
      <c r="D1012" s="426"/>
      <c r="E1012" s="25" t="s">
        <v>33</v>
      </c>
      <c r="F1012" s="93">
        <v>4</v>
      </c>
    </row>
    <row r="1013" spans="1:6" ht="26.1" customHeight="1" x14ac:dyDescent="0.2">
      <c r="A1013" s="80" t="s">
        <v>964</v>
      </c>
      <c r="B1013" s="424" t="s">
        <v>671</v>
      </c>
      <c r="C1013" s="425"/>
      <c r="D1013" s="426"/>
      <c r="E1013" s="25" t="s">
        <v>33</v>
      </c>
      <c r="F1013" s="93">
        <v>4</v>
      </c>
    </row>
    <row r="1014" spans="1:6" ht="39" customHeight="1" x14ac:dyDescent="0.2">
      <c r="A1014" s="80" t="s">
        <v>963</v>
      </c>
      <c r="B1014" s="424" t="s">
        <v>933</v>
      </c>
      <c r="C1014" s="425"/>
      <c r="D1014" s="426"/>
      <c r="E1014" s="25" t="s">
        <v>33</v>
      </c>
      <c r="F1014" s="93">
        <v>8</v>
      </c>
    </row>
    <row r="1015" spans="1:6" ht="39" customHeight="1" x14ac:dyDescent="0.2">
      <c r="A1015" s="80" t="s">
        <v>962</v>
      </c>
      <c r="B1015" s="424" t="s">
        <v>675</v>
      </c>
      <c r="C1015" s="425"/>
      <c r="D1015" s="426"/>
      <c r="E1015" s="25" t="s">
        <v>10</v>
      </c>
      <c r="F1015" s="93">
        <f>231</f>
        <v>231</v>
      </c>
    </row>
    <row r="1016" spans="1:6" ht="39" customHeight="1" x14ac:dyDescent="0.2">
      <c r="A1016" s="80" t="s">
        <v>961</v>
      </c>
      <c r="B1016" s="424" t="s">
        <v>932</v>
      </c>
      <c r="C1016" s="425"/>
      <c r="D1016" s="426"/>
      <c r="E1016" s="25" t="s">
        <v>10</v>
      </c>
      <c r="F1016" s="93">
        <v>87</v>
      </c>
    </row>
    <row r="1017" spans="1:6" ht="39" customHeight="1" x14ac:dyDescent="0.2">
      <c r="A1017" s="80" t="s">
        <v>960</v>
      </c>
      <c r="B1017" s="424" t="s">
        <v>959</v>
      </c>
      <c r="C1017" s="425"/>
      <c r="D1017" s="426"/>
      <c r="E1017" s="25" t="s">
        <v>33</v>
      </c>
      <c r="F1017" s="93">
        <v>1</v>
      </c>
    </row>
    <row r="1018" spans="1:6" ht="39" customHeight="1" x14ac:dyDescent="0.2">
      <c r="A1018" s="80" t="s">
        <v>958</v>
      </c>
      <c r="B1018" s="424" t="s">
        <v>683</v>
      </c>
      <c r="C1018" s="425"/>
      <c r="D1018" s="426"/>
      <c r="E1018" s="25" t="s">
        <v>33</v>
      </c>
      <c r="F1018" s="93">
        <v>1</v>
      </c>
    </row>
    <row r="1019" spans="1:6" ht="39" customHeight="1" x14ac:dyDescent="0.2">
      <c r="A1019" s="80" t="s">
        <v>957</v>
      </c>
      <c r="B1019" s="427" t="s">
        <v>926</v>
      </c>
      <c r="C1019" s="428"/>
      <c r="D1019" s="429"/>
      <c r="E1019" s="25" t="s">
        <v>33</v>
      </c>
      <c r="F1019" s="93">
        <f>3+D1053</f>
        <v>182</v>
      </c>
    </row>
    <row r="1020" spans="1:6" s="1" customFormat="1" ht="15" x14ac:dyDescent="0.2">
      <c r="A1020" s="19"/>
      <c r="B1020" s="50"/>
      <c r="C1020" s="50"/>
      <c r="D1020" s="50"/>
      <c r="E1020" s="50"/>
      <c r="F1020" s="61"/>
    </row>
    <row r="1021" spans="1:6" s="1" customFormat="1" ht="15" x14ac:dyDescent="0.2">
      <c r="A1021" s="402" t="s">
        <v>201</v>
      </c>
      <c r="B1021" s="2" t="s">
        <v>186</v>
      </c>
      <c r="C1021" s="2" t="s">
        <v>301</v>
      </c>
      <c r="D1021" s="2" t="s">
        <v>302</v>
      </c>
      <c r="E1021" s="43"/>
      <c r="F1021" s="33"/>
    </row>
    <row r="1022" spans="1:6" s="1" customFormat="1" ht="15" x14ac:dyDescent="0.2">
      <c r="A1022" s="402"/>
      <c r="B1022" s="3" t="s">
        <v>202</v>
      </c>
      <c r="C1022" s="5">
        <v>8</v>
      </c>
      <c r="D1022" s="401">
        <f>SUM(C1022:C1037)</f>
        <v>89</v>
      </c>
      <c r="E1022" s="45"/>
      <c r="F1022" s="400"/>
    </row>
    <row r="1023" spans="1:6" s="1" customFormat="1" ht="15" x14ac:dyDescent="0.2">
      <c r="A1023" s="402"/>
      <c r="B1023" s="3" t="s">
        <v>203</v>
      </c>
      <c r="C1023" s="5">
        <v>8</v>
      </c>
      <c r="D1023" s="401"/>
      <c r="E1023" s="45"/>
      <c r="F1023" s="400"/>
    </row>
    <row r="1024" spans="1:6" s="1" customFormat="1" ht="15" x14ac:dyDescent="0.2">
      <c r="A1024" s="402"/>
      <c r="B1024" s="3" t="s">
        <v>204</v>
      </c>
      <c r="C1024" s="5">
        <v>8</v>
      </c>
      <c r="D1024" s="401"/>
      <c r="E1024" s="45"/>
      <c r="F1024" s="400"/>
    </row>
    <row r="1025" spans="1:6" s="1" customFormat="1" ht="15" x14ac:dyDescent="0.2">
      <c r="A1025" s="402"/>
      <c r="B1025" s="3" t="s">
        <v>205</v>
      </c>
      <c r="C1025" s="5">
        <v>8</v>
      </c>
      <c r="D1025" s="401"/>
      <c r="E1025" s="45"/>
      <c r="F1025" s="400"/>
    </row>
    <row r="1026" spans="1:6" s="1" customFormat="1" ht="15" x14ac:dyDescent="0.2">
      <c r="A1026" s="402"/>
      <c r="B1026" s="3" t="s">
        <v>206</v>
      </c>
      <c r="C1026" s="5">
        <v>8</v>
      </c>
      <c r="D1026" s="401"/>
      <c r="E1026" s="45"/>
      <c r="F1026" s="400"/>
    </row>
    <row r="1027" spans="1:6" s="1" customFormat="1" ht="15" x14ac:dyDescent="0.2">
      <c r="A1027" s="402"/>
      <c r="B1027" s="3" t="s">
        <v>207</v>
      </c>
      <c r="C1027" s="5">
        <v>8</v>
      </c>
      <c r="D1027" s="401"/>
      <c r="E1027" s="45"/>
      <c r="F1027" s="400"/>
    </row>
    <row r="1028" spans="1:6" s="1" customFormat="1" ht="15" x14ac:dyDescent="0.2">
      <c r="A1028" s="402"/>
      <c r="B1028" s="3" t="s">
        <v>209</v>
      </c>
      <c r="C1028" s="5">
        <v>1</v>
      </c>
      <c r="D1028" s="401"/>
      <c r="E1028" s="45"/>
      <c r="F1028" s="400"/>
    </row>
    <row r="1029" spans="1:6" s="1" customFormat="1" ht="15" x14ac:dyDescent="0.2">
      <c r="A1029" s="402"/>
      <c r="B1029" s="3" t="s">
        <v>210</v>
      </c>
      <c r="C1029" s="5">
        <v>1</v>
      </c>
      <c r="D1029" s="401"/>
      <c r="E1029" s="45"/>
      <c r="F1029" s="400"/>
    </row>
    <row r="1030" spans="1:6" s="1" customFormat="1" ht="15" x14ac:dyDescent="0.2">
      <c r="A1030" s="402"/>
      <c r="B1030" s="3" t="s">
        <v>300</v>
      </c>
      <c r="C1030" s="5">
        <v>16</v>
      </c>
      <c r="D1030" s="401"/>
      <c r="E1030" s="45"/>
      <c r="F1030" s="400"/>
    </row>
    <row r="1031" spans="1:6" s="1" customFormat="1" ht="15" x14ac:dyDescent="0.2">
      <c r="A1031" s="402"/>
      <c r="B1031" s="3" t="s">
        <v>211</v>
      </c>
      <c r="C1031" s="5">
        <v>4</v>
      </c>
      <c r="D1031" s="401"/>
      <c r="E1031" s="45"/>
      <c r="F1031" s="400"/>
    </row>
    <row r="1032" spans="1:6" s="1" customFormat="1" ht="15" x14ac:dyDescent="0.2">
      <c r="A1032" s="402"/>
      <c r="B1032" s="3" t="s">
        <v>212</v>
      </c>
      <c r="C1032" s="5">
        <v>1</v>
      </c>
      <c r="D1032" s="401"/>
      <c r="E1032" s="45"/>
      <c r="F1032" s="400"/>
    </row>
    <row r="1033" spans="1:6" s="1" customFormat="1" ht="15" x14ac:dyDescent="0.2">
      <c r="A1033" s="402"/>
      <c r="B1033" s="3" t="s">
        <v>212</v>
      </c>
      <c r="C1033" s="5">
        <v>1</v>
      </c>
      <c r="D1033" s="401"/>
      <c r="E1033" s="45"/>
      <c r="F1033" s="400"/>
    </row>
    <row r="1034" spans="1:6" s="1" customFormat="1" ht="15" x14ac:dyDescent="0.2">
      <c r="A1034" s="402"/>
      <c r="B1034" s="3" t="s">
        <v>213</v>
      </c>
      <c r="C1034" s="5">
        <v>6</v>
      </c>
      <c r="D1034" s="401"/>
      <c r="E1034" s="45"/>
      <c r="F1034" s="400"/>
    </row>
    <row r="1035" spans="1:6" s="1" customFormat="1" ht="15" x14ac:dyDescent="0.2">
      <c r="A1035" s="402"/>
      <c r="B1035" s="3" t="s">
        <v>214</v>
      </c>
      <c r="C1035" s="5">
        <v>7</v>
      </c>
      <c r="D1035" s="401"/>
      <c r="E1035" s="45"/>
      <c r="F1035" s="400"/>
    </row>
    <row r="1036" spans="1:6" s="1" customFormat="1" ht="15" x14ac:dyDescent="0.2">
      <c r="A1036" s="402"/>
      <c r="B1036" s="3" t="s">
        <v>215</v>
      </c>
      <c r="C1036" s="5">
        <v>2</v>
      </c>
      <c r="D1036" s="401"/>
      <c r="E1036" s="45"/>
      <c r="F1036" s="400"/>
    </row>
    <row r="1037" spans="1:6" s="1" customFormat="1" ht="15" x14ac:dyDescent="0.2">
      <c r="A1037" s="402"/>
      <c r="B1037" s="3" t="s">
        <v>216</v>
      </c>
      <c r="C1037" s="5">
        <v>2</v>
      </c>
      <c r="D1037" s="401"/>
      <c r="E1037" s="45"/>
      <c r="F1037" s="400"/>
    </row>
    <row r="1038" spans="1:6" s="1" customFormat="1" ht="15" x14ac:dyDescent="0.2">
      <c r="A1038" s="19"/>
      <c r="B1038" s="50"/>
      <c r="C1038" s="50"/>
      <c r="D1038" s="50"/>
      <c r="E1038" s="50"/>
      <c r="F1038" s="61"/>
    </row>
    <row r="1039" spans="1:6" s="1" customFormat="1" ht="15" x14ac:dyDescent="0.2">
      <c r="A1039" s="402" t="s">
        <v>219</v>
      </c>
      <c r="B1039" s="2" t="s">
        <v>186</v>
      </c>
      <c r="C1039" s="2" t="s">
        <v>301</v>
      </c>
      <c r="D1039" s="11" t="s">
        <v>299</v>
      </c>
      <c r="E1039" s="43"/>
      <c r="F1039" s="33"/>
    </row>
    <row r="1040" spans="1:6" s="1" customFormat="1" ht="15" x14ac:dyDescent="0.2">
      <c r="A1040" s="402"/>
      <c r="B1040" s="3" t="s">
        <v>202</v>
      </c>
      <c r="C1040" s="5">
        <v>10</v>
      </c>
      <c r="D1040" s="401">
        <f>SUM(C1040:C1051)</f>
        <v>90</v>
      </c>
      <c r="E1040" s="45"/>
      <c r="F1040" s="400"/>
    </row>
    <row r="1041" spans="1:6" s="1" customFormat="1" ht="15" x14ac:dyDescent="0.2">
      <c r="A1041" s="402"/>
      <c r="B1041" s="3" t="s">
        <v>203</v>
      </c>
      <c r="C1041" s="5">
        <v>10</v>
      </c>
      <c r="D1041" s="401"/>
      <c r="E1041" s="45"/>
      <c r="F1041" s="400"/>
    </row>
    <row r="1042" spans="1:6" s="1" customFormat="1" ht="15" x14ac:dyDescent="0.2">
      <c r="A1042" s="402"/>
      <c r="B1042" s="3" t="s">
        <v>204</v>
      </c>
      <c r="C1042" s="5">
        <v>10</v>
      </c>
      <c r="D1042" s="401"/>
      <c r="E1042" s="45"/>
      <c r="F1042" s="400"/>
    </row>
    <row r="1043" spans="1:6" s="1" customFormat="1" ht="15" x14ac:dyDescent="0.2">
      <c r="A1043" s="402"/>
      <c r="B1043" s="3" t="s">
        <v>205</v>
      </c>
      <c r="C1043" s="5">
        <v>10</v>
      </c>
      <c r="D1043" s="401"/>
      <c r="E1043" s="45"/>
      <c r="F1043" s="400"/>
    </row>
    <row r="1044" spans="1:6" s="1" customFormat="1" ht="15" x14ac:dyDescent="0.2">
      <c r="A1044" s="402"/>
      <c r="B1044" s="3" t="s">
        <v>206</v>
      </c>
      <c r="C1044" s="5">
        <v>10</v>
      </c>
      <c r="D1044" s="401"/>
      <c r="E1044" s="45"/>
      <c r="F1044" s="400"/>
    </row>
    <row r="1045" spans="1:6" s="1" customFormat="1" ht="15" x14ac:dyDescent="0.2">
      <c r="A1045" s="402"/>
      <c r="B1045" s="3" t="s">
        <v>207</v>
      </c>
      <c r="C1045" s="5">
        <v>10</v>
      </c>
      <c r="D1045" s="401"/>
      <c r="E1045" s="45"/>
      <c r="F1045" s="400"/>
    </row>
    <row r="1046" spans="1:6" s="1" customFormat="1" ht="15" x14ac:dyDescent="0.2">
      <c r="A1046" s="402"/>
      <c r="B1046" s="9" t="s">
        <v>209</v>
      </c>
      <c r="C1046" s="5">
        <v>3</v>
      </c>
      <c r="D1046" s="401"/>
      <c r="E1046" s="45"/>
      <c r="F1046" s="400"/>
    </row>
    <row r="1047" spans="1:6" s="1" customFormat="1" ht="15" x14ac:dyDescent="0.2">
      <c r="A1047" s="402"/>
      <c r="B1047" s="9" t="s">
        <v>210</v>
      </c>
      <c r="C1047" s="5">
        <v>3</v>
      </c>
      <c r="D1047" s="401"/>
      <c r="E1047" s="45"/>
      <c r="F1047" s="400"/>
    </row>
    <row r="1048" spans="1:6" s="1" customFormat="1" ht="25.5" x14ac:dyDescent="0.2">
      <c r="A1048" s="402"/>
      <c r="B1048" s="3" t="s">
        <v>220</v>
      </c>
      <c r="C1048" s="5">
        <v>10</v>
      </c>
      <c r="D1048" s="401"/>
      <c r="E1048" s="45"/>
      <c r="F1048" s="400"/>
    </row>
    <row r="1049" spans="1:6" s="1" customFormat="1" ht="15" x14ac:dyDescent="0.2">
      <c r="A1049" s="402"/>
      <c r="B1049" s="3" t="s">
        <v>211</v>
      </c>
      <c r="C1049" s="5">
        <v>12</v>
      </c>
      <c r="D1049" s="401"/>
      <c r="E1049" s="45"/>
      <c r="F1049" s="400"/>
    </row>
    <row r="1050" spans="1:6" s="1" customFormat="1" ht="15" x14ac:dyDescent="0.2">
      <c r="A1050" s="402"/>
      <c r="B1050" s="3" t="s">
        <v>223</v>
      </c>
      <c r="C1050" s="5">
        <v>1</v>
      </c>
      <c r="D1050" s="401"/>
      <c r="E1050" s="45"/>
      <c r="F1050" s="400"/>
    </row>
    <row r="1051" spans="1:6" s="1" customFormat="1" ht="15" x14ac:dyDescent="0.2">
      <c r="A1051" s="402"/>
      <c r="B1051" s="3" t="s">
        <v>224</v>
      </c>
      <c r="C1051" s="5">
        <v>1</v>
      </c>
      <c r="D1051" s="401"/>
      <c r="E1051" s="45"/>
      <c r="F1051" s="400"/>
    </row>
    <row r="1052" spans="1:6" s="12" customFormat="1" ht="15" x14ac:dyDescent="0.2">
      <c r="A1052" s="69"/>
      <c r="B1052" s="70"/>
      <c r="C1052" s="45"/>
      <c r="D1052" s="53"/>
      <c r="E1052" s="45"/>
      <c r="F1052" s="35"/>
    </row>
    <row r="1053" spans="1:6" s="1" customFormat="1" ht="15" x14ac:dyDescent="0.2">
      <c r="A1053" s="384" t="s">
        <v>227</v>
      </c>
      <c r="B1053" s="385"/>
      <c r="C1053" s="386"/>
      <c r="D1053" s="13">
        <f>D1022+D1040</f>
        <v>179</v>
      </c>
      <c r="E1053" s="72"/>
      <c r="F1053" s="35"/>
    </row>
    <row r="1054" spans="1:6" s="1" customFormat="1" ht="15" x14ac:dyDescent="0.2">
      <c r="A1054" s="19"/>
      <c r="B1054" s="50"/>
      <c r="C1054" s="50"/>
      <c r="D1054" s="50"/>
      <c r="E1054" s="50"/>
      <c r="F1054" s="61"/>
    </row>
    <row r="1055" spans="1:6" s="1" customFormat="1" ht="30" customHeight="1" x14ac:dyDescent="0.2">
      <c r="A1055" s="356" t="s">
        <v>1557</v>
      </c>
      <c r="B1055" s="357"/>
      <c r="C1055" s="357"/>
      <c r="D1055" s="357"/>
      <c r="E1055" s="357"/>
      <c r="F1055" s="358"/>
    </row>
    <row r="1056" spans="1:6" ht="39" customHeight="1" x14ac:dyDescent="0.2">
      <c r="A1056" s="80" t="s">
        <v>956</v>
      </c>
      <c r="B1056" s="424" t="s">
        <v>925</v>
      </c>
      <c r="C1056" s="425"/>
      <c r="D1056" s="426"/>
      <c r="E1056" s="25" t="s">
        <v>33</v>
      </c>
      <c r="F1056" s="93">
        <v>1</v>
      </c>
    </row>
    <row r="1057" spans="1:6" ht="26.1" customHeight="1" x14ac:dyDescent="0.2">
      <c r="A1057" s="80" t="s">
        <v>955</v>
      </c>
      <c r="B1057" s="424" t="s">
        <v>954</v>
      </c>
      <c r="C1057" s="425"/>
      <c r="D1057" s="426"/>
      <c r="E1057" s="25" t="s">
        <v>33</v>
      </c>
      <c r="F1057" s="93">
        <v>1</v>
      </c>
    </row>
    <row r="1058" spans="1:6" ht="26.1" customHeight="1" x14ac:dyDescent="0.2">
      <c r="A1058" s="80" t="s">
        <v>953</v>
      </c>
      <c r="B1058" s="424" t="s">
        <v>687</v>
      </c>
      <c r="C1058" s="425"/>
      <c r="D1058" s="426"/>
      <c r="E1058" s="25" t="s">
        <v>33</v>
      </c>
      <c r="F1058" s="93">
        <v>1</v>
      </c>
    </row>
    <row r="1059" spans="1:6" ht="26.1" customHeight="1" x14ac:dyDescent="0.2">
      <c r="A1059" s="80" t="s">
        <v>952</v>
      </c>
      <c r="B1059" s="424" t="s">
        <v>951</v>
      </c>
      <c r="C1059" s="425"/>
      <c r="D1059" s="426"/>
      <c r="E1059" s="25" t="s">
        <v>33</v>
      </c>
      <c r="F1059" s="93">
        <v>1</v>
      </c>
    </row>
    <row r="1060" spans="1:6" ht="51.95" customHeight="1" x14ac:dyDescent="0.2">
      <c r="A1060" s="80" t="s">
        <v>950</v>
      </c>
      <c r="B1060" s="424" t="s">
        <v>689</v>
      </c>
      <c r="C1060" s="425"/>
      <c r="D1060" s="426"/>
      <c r="E1060" s="25" t="s">
        <v>10</v>
      </c>
      <c r="F1060" s="93">
        <v>39</v>
      </c>
    </row>
    <row r="1061" spans="1:6" ht="39" customHeight="1" x14ac:dyDescent="0.2">
      <c r="A1061" s="80" t="s">
        <v>949</v>
      </c>
      <c r="B1061" s="424" t="s">
        <v>919</v>
      </c>
      <c r="C1061" s="425"/>
      <c r="D1061" s="426"/>
      <c r="E1061" s="25" t="s">
        <v>33</v>
      </c>
      <c r="F1061" s="93">
        <v>12</v>
      </c>
    </row>
    <row r="1062" spans="1:6" ht="39" customHeight="1" x14ac:dyDescent="0.2">
      <c r="A1062" s="80" t="s">
        <v>948</v>
      </c>
      <c r="B1062" s="424" t="s">
        <v>936</v>
      </c>
      <c r="C1062" s="425"/>
      <c r="D1062" s="426"/>
      <c r="E1062" s="25" t="s">
        <v>16</v>
      </c>
      <c r="F1062" s="93">
        <v>129</v>
      </c>
    </row>
    <row r="1063" spans="1:6" ht="24" customHeight="1" x14ac:dyDescent="0.2">
      <c r="A1063" s="81" t="s">
        <v>947</v>
      </c>
      <c r="B1063" s="388" t="s">
        <v>982</v>
      </c>
      <c r="C1063" s="388"/>
      <c r="D1063" s="388"/>
      <c r="E1063" s="54"/>
      <c r="F1063" s="132">
        <v>1</v>
      </c>
    </row>
    <row r="1064" spans="1:6" s="1" customFormat="1" ht="15" x14ac:dyDescent="0.2">
      <c r="A1064" s="356" t="s">
        <v>983</v>
      </c>
      <c r="B1064" s="357"/>
      <c r="C1064" s="357"/>
      <c r="D1064" s="357"/>
      <c r="E1064" s="357"/>
      <c r="F1064" s="358"/>
    </row>
    <row r="1065" spans="1:6" x14ac:dyDescent="0.2">
      <c r="A1065" s="80" t="s">
        <v>946</v>
      </c>
      <c r="B1065" s="348" t="s">
        <v>917</v>
      </c>
      <c r="C1065" s="348"/>
      <c r="D1065" s="348"/>
      <c r="E1065" s="25" t="s">
        <v>33</v>
      </c>
      <c r="F1065" s="93">
        <v>3</v>
      </c>
    </row>
    <row r="1066" spans="1:6" ht="26.1" customHeight="1" x14ac:dyDescent="0.2">
      <c r="A1066" s="80" t="s">
        <v>945</v>
      </c>
      <c r="B1066" s="348" t="s">
        <v>944</v>
      </c>
      <c r="C1066" s="348"/>
      <c r="D1066" s="348"/>
      <c r="E1066" s="25" t="s">
        <v>33</v>
      </c>
      <c r="F1066" s="93">
        <v>1</v>
      </c>
    </row>
    <row r="1067" spans="1:6" ht="39" customHeight="1" x14ac:dyDescent="0.2">
      <c r="A1067" s="80" t="s">
        <v>943</v>
      </c>
      <c r="B1067" s="348" t="s">
        <v>667</v>
      </c>
      <c r="C1067" s="348"/>
      <c r="D1067" s="348"/>
      <c r="E1067" s="25" t="s">
        <v>33</v>
      </c>
      <c r="F1067" s="93">
        <v>1</v>
      </c>
    </row>
    <row r="1068" spans="1:6" ht="39" customHeight="1" x14ac:dyDescent="0.2">
      <c r="A1068" s="80" t="s">
        <v>942</v>
      </c>
      <c r="B1068" s="348" t="s">
        <v>673</v>
      </c>
      <c r="C1068" s="348"/>
      <c r="D1068" s="348"/>
      <c r="E1068" s="25" t="s">
        <v>33</v>
      </c>
      <c r="F1068" s="93">
        <v>8</v>
      </c>
    </row>
    <row r="1069" spans="1:6" ht="39" customHeight="1" x14ac:dyDescent="0.2">
      <c r="A1069" s="80" t="s">
        <v>941</v>
      </c>
      <c r="B1069" s="348" t="s">
        <v>910</v>
      </c>
      <c r="C1069" s="348"/>
      <c r="D1069" s="348"/>
      <c r="E1069" s="25" t="s">
        <v>10</v>
      </c>
      <c r="F1069" s="93">
        <v>49</v>
      </c>
    </row>
    <row r="1070" spans="1:6" x14ac:dyDescent="0.2">
      <c r="A1070" s="80" t="s">
        <v>940</v>
      </c>
      <c r="B1070" s="348" t="s">
        <v>908</v>
      </c>
      <c r="C1070" s="348"/>
      <c r="D1070" s="348"/>
      <c r="E1070" s="25" t="s">
        <v>33</v>
      </c>
      <c r="F1070" s="93">
        <v>2</v>
      </c>
    </row>
    <row r="1071" spans="1:6" x14ac:dyDescent="0.2">
      <c r="A1071" s="80" t="s">
        <v>939</v>
      </c>
      <c r="B1071" s="348" t="s">
        <v>938</v>
      </c>
      <c r="C1071" s="348"/>
      <c r="D1071" s="348"/>
      <c r="E1071" s="25" t="s">
        <v>10</v>
      </c>
      <c r="F1071" s="93">
        <v>1</v>
      </c>
    </row>
    <row r="1072" spans="1:6" x14ac:dyDescent="0.2">
      <c r="A1072" s="80" t="s">
        <v>937</v>
      </c>
      <c r="B1072" s="348" t="s">
        <v>922</v>
      </c>
      <c r="C1072" s="348"/>
      <c r="D1072" s="348"/>
      <c r="E1072" s="25" t="s">
        <v>10</v>
      </c>
      <c r="F1072" s="93">
        <v>28</v>
      </c>
    </row>
    <row r="1073" spans="1:6" ht="24" customHeight="1" x14ac:dyDescent="0.2">
      <c r="A1073" s="81" t="s">
        <v>1001</v>
      </c>
      <c r="B1073" s="388" t="s">
        <v>1002</v>
      </c>
      <c r="C1073" s="388"/>
      <c r="D1073" s="388"/>
      <c r="E1073" s="54"/>
      <c r="F1073" s="132">
        <v>1</v>
      </c>
    </row>
    <row r="1074" spans="1:6" s="1" customFormat="1" ht="15" x14ac:dyDescent="0.2">
      <c r="A1074" s="356" t="s">
        <v>1018</v>
      </c>
      <c r="B1074" s="357"/>
      <c r="C1074" s="357"/>
      <c r="D1074" s="357"/>
      <c r="E1074" s="357"/>
      <c r="F1074" s="358"/>
    </row>
    <row r="1075" spans="1:6" ht="26.1" customHeight="1" x14ac:dyDescent="0.2">
      <c r="A1075" s="80" t="s">
        <v>1003</v>
      </c>
      <c r="B1075" s="348" t="s">
        <v>1004</v>
      </c>
      <c r="C1075" s="348"/>
      <c r="D1075" s="348"/>
      <c r="E1075" s="25" t="s">
        <v>10</v>
      </c>
      <c r="F1075" s="93">
        <v>65.459999999999994</v>
      </c>
    </row>
    <row r="1076" spans="1:6" ht="39" customHeight="1" x14ac:dyDescent="0.2">
      <c r="A1076" s="80" t="s">
        <v>1005</v>
      </c>
      <c r="B1076" s="348" t="s">
        <v>1006</v>
      </c>
      <c r="C1076" s="348"/>
      <c r="D1076" s="348"/>
      <c r="E1076" s="25" t="s">
        <v>33</v>
      </c>
      <c r="F1076" s="93">
        <v>3</v>
      </c>
    </row>
    <row r="1077" spans="1:6" ht="39" customHeight="1" x14ac:dyDescent="0.2">
      <c r="A1077" s="80" t="s">
        <v>1007</v>
      </c>
      <c r="B1077" s="348" t="s">
        <v>1008</v>
      </c>
      <c r="C1077" s="348"/>
      <c r="D1077" s="348"/>
      <c r="E1077" s="25" t="s">
        <v>33</v>
      </c>
      <c r="F1077" s="93">
        <v>4</v>
      </c>
    </row>
    <row r="1078" spans="1:6" ht="39" customHeight="1" x14ac:dyDescent="0.2">
      <c r="A1078" s="80" t="s">
        <v>1009</v>
      </c>
      <c r="B1078" s="348" t="s">
        <v>1010</v>
      </c>
      <c r="C1078" s="348"/>
      <c r="D1078" s="348"/>
      <c r="E1078" s="25" t="s">
        <v>33</v>
      </c>
      <c r="F1078" s="93">
        <v>1</v>
      </c>
    </row>
    <row r="1079" spans="1:6" ht="39" customHeight="1" x14ac:dyDescent="0.2">
      <c r="A1079" s="80" t="s">
        <v>1011</v>
      </c>
      <c r="B1079" s="348" t="s">
        <v>1012</v>
      </c>
      <c r="C1079" s="348"/>
      <c r="D1079" s="348"/>
      <c r="E1079" s="25" t="s">
        <v>33</v>
      </c>
      <c r="F1079" s="93">
        <v>20</v>
      </c>
    </row>
    <row r="1080" spans="1:6" ht="39" customHeight="1" x14ac:dyDescent="0.2">
      <c r="A1080" s="80" t="s">
        <v>1013</v>
      </c>
      <c r="B1080" s="348" t="s">
        <v>1014</v>
      </c>
      <c r="C1080" s="348"/>
      <c r="D1080" s="348"/>
      <c r="E1080" s="25" t="s">
        <v>33</v>
      </c>
      <c r="F1080" s="93">
        <v>7</v>
      </c>
    </row>
    <row r="1081" spans="1:6" ht="39" customHeight="1" x14ac:dyDescent="0.2">
      <c r="A1081" s="80" t="s">
        <v>1015</v>
      </c>
      <c r="B1081" s="348" t="s">
        <v>1016</v>
      </c>
      <c r="C1081" s="348"/>
      <c r="D1081" s="348"/>
      <c r="E1081" s="25" t="s">
        <v>33</v>
      </c>
      <c r="F1081" s="93">
        <v>3</v>
      </c>
    </row>
    <row r="1082" spans="1:6" ht="24" customHeight="1" x14ac:dyDescent="0.2">
      <c r="A1082" s="80" t="s">
        <v>1017</v>
      </c>
      <c r="B1082" s="348" t="s">
        <v>458</v>
      </c>
      <c r="C1082" s="348"/>
      <c r="D1082" s="348"/>
      <c r="E1082" s="25" t="s">
        <v>33</v>
      </c>
      <c r="F1082" s="93">
        <v>1</v>
      </c>
    </row>
    <row r="1083" spans="1:6" ht="24" customHeight="1" x14ac:dyDescent="0.2">
      <c r="A1083" s="57" t="s">
        <v>107</v>
      </c>
      <c r="B1083" s="388" t="s">
        <v>109</v>
      </c>
      <c r="C1083" s="388"/>
      <c r="D1083" s="388"/>
      <c r="E1083" s="6"/>
      <c r="F1083" s="58">
        <v>1</v>
      </c>
    </row>
    <row r="1084" spans="1:6" ht="24" customHeight="1" x14ac:dyDescent="0.2">
      <c r="A1084" s="57" t="s">
        <v>241</v>
      </c>
      <c r="B1084" s="388" t="s">
        <v>25</v>
      </c>
      <c r="C1084" s="388"/>
      <c r="D1084" s="388"/>
      <c r="E1084" s="6"/>
      <c r="F1084" s="58">
        <v>1</v>
      </c>
    </row>
    <row r="1085" spans="1:6" ht="39" customHeight="1" x14ac:dyDescent="0.2">
      <c r="A1085" s="59" t="s">
        <v>242</v>
      </c>
      <c r="B1085" s="387" t="s">
        <v>111</v>
      </c>
      <c r="C1085" s="387"/>
      <c r="D1085" s="387"/>
      <c r="E1085" s="7" t="s">
        <v>13</v>
      </c>
      <c r="F1085" s="60">
        <f>F1088</f>
        <v>306.95749999999998</v>
      </c>
    </row>
    <row r="1086" spans="1:6" s="1" customFormat="1" ht="15" x14ac:dyDescent="0.2">
      <c r="A1086" s="19"/>
      <c r="B1086" s="50"/>
      <c r="C1086" s="50"/>
      <c r="D1086" s="50"/>
      <c r="E1086" s="50"/>
      <c r="F1086" s="61"/>
    </row>
    <row r="1087" spans="1:6" s="1" customFormat="1" ht="15" x14ac:dyDescent="0.2">
      <c r="A1087" s="63" t="s">
        <v>201</v>
      </c>
      <c r="B1087" s="2" t="s">
        <v>186</v>
      </c>
      <c r="C1087" s="2" t="s">
        <v>187</v>
      </c>
      <c r="D1087" s="2" t="s">
        <v>188</v>
      </c>
      <c r="E1087" s="2" t="s">
        <v>194</v>
      </c>
      <c r="F1087" s="28" t="s">
        <v>195</v>
      </c>
    </row>
    <row r="1088" spans="1:6" s="1" customFormat="1" ht="15" customHeight="1" x14ac:dyDescent="0.2">
      <c r="A1088" s="430" t="s">
        <v>354</v>
      </c>
      <c r="B1088" s="3" t="s">
        <v>355</v>
      </c>
      <c r="C1088" s="3">
        <v>7.77</v>
      </c>
      <c r="D1088" s="3">
        <v>5.3</v>
      </c>
      <c r="E1088" s="5">
        <f>C1088*D1088</f>
        <v>41.180999999999997</v>
      </c>
      <c r="F1088" s="411">
        <f>SUM(E1088:E1091)</f>
        <v>306.95749999999998</v>
      </c>
    </row>
    <row r="1089" spans="1:6" s="1" customFormat="1" ht="15" x14ac:dyDescent="0.2">
      <c r="A1089" s="431"/>
      <c r="B1089" s="3" t="s">
        <v>356</v>
      </c>
      <c r="C1089" s="3">
        <v>0.91</v>
      </c>
      <c r="D1089" s="3">
        <v>1.9</v>
      </c>
      <c r="E1089" s="5">
        <f t="shared" ref="E1089:E1091" si="29">C1089*D1089</f>
        <v>1.7289999999999999</v>
      </c>
      <c r="F1089" s="412"/>
    </row>
    <row r="1090" spans="1:6" s="1" customFormat="1" ht="15" x14ac:dyDescent="0.2">
      <c r="A1090" s="431"/>
      <c r="B1090" s="3" t="s">
        <v>357</v>
      </c>
      <c r="C1090" s="3">
        <v>11.61</v>
      </c>
      <c r="D1090" s="3">
        <v>12.55</v>
      </c>
      <c r="E1090" s="5">
        <f t="shared" si="29"/>
        <v>145.7055</v>
      </c>
      <c r="F1090" s="412"/>
    </row>
    <row r="1091" spans="1:6" s="1" customFormat="1" ht="15" x14ac:dyDescent="0.2">
      <c r="A1091" s="432"/>
      <c r="B1091" s="3" t="s">
        <v>358</v>
      </c>
      <c r="C1091" s="3">
        <v>11.06</v>
      </c>
      <c r="D1091" s="3">
        <v>10.7</v>
      </c>
      <c r="E1091" s="5">
        <f t="shared" si="29"/>
        <v>118.342</v>
      </c>
      <c r="F1091" s="413"/>
    </row>
    <row r="1092" spans="1:6" s="1" customFormat="1" ht="15" x14ac:dyDescent="0.2">
      <c r="A1092" s="19"/>
      <c r="B1092" s="50"/>
      <c r="C1092" s="50"/>
      <c r="D1092" s="50"/>
      <c r="E1092" s="50"/>
      <c r="F1092" s="61"/>
    </row>
    <row r="1093" spans="1:6" ht="39" customHeight="1" x14ac:dyDescent="0.2">
      <c r="A1093" s="59" t="s">
        <v>243</v>
      </c>
      <c r="B1093" s="387" t="s">
        <v>112</v>
      </c>
      <c r="C1093" s="387"/>
      <c r="D1093" s="387"/>
      <c r="E1093" s="7" t="s">
        <v>19</v>
      </c>
      <c r="F1093" s="60">
        <f>F1100</f>
        <v>5.8812500000000005</v>
      </c>
    </row>
    <row r="1094" spans="1:6" s="1" customFormat="1" ht="15" x14ac:dyDescent="0.2">
      <c r="A1094" s="19"/>
      <c r="B1094" s="50"/>
      <c r="C1094" s="50"/>
      <c r="D1094" s="50"/>
      <c r="E1094" s="50"/>
      <c r="F1094" s="61"/>
    </row>
    <row r="1095" spans="1:6" s="1" customFormat="1" ht="15" x14ac:dyDescent="0.2">
      <c r="A1095" s="21" t="s">
        <v>186</v>
      </c>
      <c r="B1095" s="2" t="s">
        <v>187</v>
      </c>
      <c r="C1095" s="2" t="s">
        <v>188</v>
      </c>
      <c r="D1095" s="2" t="s">
        <v>361</v>
      </c>
      <c r="E1095" s="2" t="s">
        <v>295</v>
      </c>
      <c r="F1095" s="28" t="s">
        <v>240</v>
      </c>
    </row>
    <row r="1096" spans="1:6" s="1" customFormat="1" ht="15" customHeight="1" x14ac:dyDescent="0.2">
      <c r="A1096" s="22" t="s">
        <v>359</v>
      </c>
      <c r="B1096" s="3">
        <v>0.15</v>
      </c>
      <c r="C1096" s="3">
        <v>0.15</v>
      </c>
      <c r="D1096" s="3">
        <v>0.3</v>
      </c>
      <c r="E1096" s="5">
        <f>8*2</f>
        <v>16</v>
      </c>
      <c r="F1096" s="64">
        <f>B1096*C1096*D1096*E1096</f>
        <v>0.108</v>
      </c>
    </row>
    <row r="1097" spans="1:6" s="1" customFormat="1" ht="30" customHeight="1" x14ac:dyDescent="0.2">
      <c r="A1097" s="22" t="s">
        <v>360</v>
      </c>
      <c r="B1097" s="3">
        <v>0.15</v>
      </c>
      <c r="C1097" s="3">
        <v>0.15</v>
      </c>
      <c r="D1097" s="3">
        <v>0.3</v>
      </c>
      <c r="E1097" s="5">
        <v>5</v>
      </c>
      <c r="F1097" s="64">
        <f>B1097*C1097*D1097*E1097</f>
        <v>3.3750000000000002E-2</v>
      </c>
    </row>
    <row r="1098" spans="1:6" s="1" customFormat="1" ht="15" x14ac:dyDescent="0.2">
      <c r="A1098" s="22"/>
      <c r="B1098" s="433" t="s">
        <v>363</v>
      </c>
      <c r="C1098" s="434"/>
      <c r="D1098" s="2" t="s">
        <v>361</v>
      </c>
      <c r="E1098" s="2" t="s">
        <v>295</v>
      </c>
      <c r="F1098" s="28" t="s">
        <v>240</v>
      </c>
    </row>
    <row r="1099" spans="1:6" s="1" customFormat="1" ht="30" customHeight="1" x14ac:dyDescent="0.2">
      <c r="A1099" s="22" t="s">
        <v>362</v>
      </c>
      <c r="B1099" s="376">
        <f>(0.65*8.83)/2</f>
        <v>2.8697500000000002</v>
      </c>
      <c r="C1099" s="377"/>
      <c r="D1099" s="3">
        <v>2</v>
      </c>
      <c r="E1099" s="5">
        <v>1</v>
      </c>
      <c r="F1099" s="29">
        <f>B1099*D1099*E1099</f>
        <v>5.7395000000000005</v>
      </c>
    </row>
    <row r="1100" spans="1:6" s="1" customFormat="1" ht="15" x14ac:dyDescent="0.2">
      <c r="A1100" s="355" t="s">
        <v>240</v>
      </c>
      <c r="B1100" s="350"/>
      <c r="C1100" s="350"/>
      <c r="D1100" s="350"/>
      <c r="E1100" s="350"/>
      <c r="F1100" s="31">
        <f>F1096+F1097+F1099</f>
        <v>5.8812500000000005</v>
      </c>
    </row>
    <row r="1101" spans="1:6" s="1" customFormat="1" ht="15" x14ac:dyDescent="0.2">
      <c r="A1101" s="19"/>
      <c r="B1101" s="50"/>
      <c r="C1101" s="50"/>
      <c r="D1101" s="50"/>
      <c r="E1101" s="50"/>
      <c r="F1101" s="61"/>
    </row>
    <row r="1102" spans="1:6" ht="26.1" customHeight="1" x14ac:dyDescent="0.2">
      <c r="A1102" s="59" t="s">
        <v>244</v>
      </c>
      <c r="B1102" s="387" t="s">
        <v>113</v>
      </c>
      <c r="C1102" s="387"/>
      <c r="D1102" s="387"/>
      <c r="E1102" s="7" t="s">
        <v>19</v>
      </c>
      <c r="F1102" s="60">
        <f>F1105</f>
        <v>7.0250000000000004</v>
      </c>
    </row>
    <row r="1103" spans="1:6" s="1" customFormat="1" ht="15" x14ac:dyDescent="0.2">
      <c r="A1103" s="19"/>
      <c r="B1103" s="50"/>
      <c r="C1103" s="50"/>
      <c r="D1103" s="50"/>
      <c r="E1103" s="50"/>
      <c r="F1103" s="61"/>
    </row>
    <row r="1104" spans="1:6" s="1" customFormat="1" ht="15" x14ac:dyDescent="0.2">
      <c r="A1104" s="21" t="s">
        <v>186</v>
      </c>
      <c r="B1104" s="2" t="s">
        <v>187</v>
      </c>
      <c r="C1104" s="2" t="s">
        <v>188</v>
      </c>
      <c r="D1104" s="2" t="s">
        <v>189</v>
      </c>
      <c r="E1104" s="2" t="s">
        <v>190</v>
      </c>
      <c r="F1104" s="28" t="s">
        <v>195</v>
      </c>
    </row>
    <row r="1105" spans="1:6" s="1" customFormat="1" ht="43.5" customHeight="1" x14ac:dyDescent="0.2">
      <c r="A1105" s="22" t="s">
        <v>365</v>
      </c>
      <c r="B1105" s="3">
        <f>8.08+1.66+2.97+1.66+0.73+1.4</f>
        <v>16.5</v>
      </c>
      <c r="C1105" s="3">
        <v>0.2</v>
      </c>
      <c r="D1105" s="3">
        <v>1.9</v>
      </c>
      <c r="E1105" s="5">
        <f>B1105*C1105*D1105</f>
        <v>6.2700000000000005</v>
      </c>
      <c r="F1105" s="411">
        <f>SUM(E1105:E1108)</f>
        <v>7.0250000000000004</v>
      </c>
    </row>
    <row r="1106" spans="1:6" s="1" customFormat="1" ht="15" x14ac:dyDescent="0.2">
      <c r="A1106" s="22" t="s">
        <v>366</v>
      </c>
      <c r="B1106" s="3">
        <f>0.42+13.79+0.95</f>
        <v>15.159999999999998</v>
      </c>
      <c r="C1106" s="3">
        <v>0.15</v>
      </c>
      <c r="D1106" s="3">
        <v>0.65</v>
      </c>
      <c r="E1106" s="5">
        <f t="shared" ref="E1106:E1108" si="30">C1106*D1106</f>
        <v>9.7500000000000003E-2</v>
      </c>
      <c r="F1106" s="412"/>
    </row>
    <row r="1107" spans="1:6" s="1" customFormat="1" ht="33.75" customHeight="1" x14ac:dyDescent="0.2">
      <c r="A1107" s="22" t="s">
        <v>367</v>
      </c>
      <c r="B1107" s="3">
        <f>22.45</f>
        <v>22.45</v>
      </c>
      <c r="C1107" s="3">
        <v>0.2</v>
      </c>
      <c r="D1107" s="3">
        <v>1.9</v>
      </c>
      <c r="E1107" s="5">
        <f t="shared" si="30"/>
        <v>0.38</v>
      </c>
      <c r="F1107" s="412"/>
    </row>
    <row r="1108" spans="1:6" s="1" customFormat="1" ht="15" x14ac:dyDescent="0.2">
      <c r="A1108" s="22" t="s">
        <v>368</v>
      </c>
      <c r="B1108" s="3">
        <f>0.8+2.25+0.8</f>
        <v>3.8499999999999996</v>
      </c>
      <c r="C1108" s="3">
        <v>0.15</v>
      </c>
      <c r="D1108" s="3">
        <v>1.85</v>
      </c>
      <c r="E1108" s="5">
        <f t="shared" si="30"/>
        <v>0.27750000000000002</v>
      </c>
      <c r="F1108" s="413"/>
    </row>
    <row r="1109" spans="1:6" s="1" customFormat="1" ht="15" x14ac:dyDescent="0.2">
      <c r="A1109" s="19"/>
      <c r="B1109" s="50"/>
      <c r="C1109" s="50"/>
      <c r="D1109" s="50"/>
      <c r="E1109" s="50"/>
      <c r="F1109" s="61"/>
    </row>
    <row r="1110" spans="1:6" ht="39" customHeight="1" x14ac:dyDescent="0.2">
      <c r="A1110" s="59" t="s">
        <v>245</v>
      </c>
      <c r="B1110" s="387" t="s">
        <v>114</v>
      </c>
      <c r="C1110" s="387"/>
      <c r="D1110" s="387"/>
      <c r="E1110" s="7" t="s">
        <v>19</v>
      </c>
      <c r="F1110" s="60">
        <f>E1113</f>
        <v>8.0000000000000016E-2</v>
      </c>
    </row>
    <row r="1111" spans="1:6" s="1" customFormat="1" ht="15" x14ac:dyDescent="0.2">
      <c r="A1111" s="19"/>
      <c r="B1111" s="50"/>
      <c r="C1111" s="50"/>
      <c r="D1111" s="50"/>
      <c r="E1111" s="50"/>
      <c r="F1111" s="61"/>
    </row>
    <row r="1112" spans="1:6" s="1" customFormat="1" ht="15" x14ac:dyDescent="0.2">
      <c r="A1112" s="21" t="s">
        <v>186</v>
      </c>
      <c r="B1112" s="2" t="s">
        <v>187</v>
      </c>
      <c r="C1112" s="2" t="s">
        <v>188</v>
      </c>
      <c r="D1112" s="2" t="s">
        <v>189</v>
      </c>
      <c r="E1112" s="2" t="s">
        <v>190</v>
      </c>
      <c r="F1112" s="33"/>
    </row>
    <row r="1113" spans="1:6" s="1" customFormat="1" ht="15" x14ac:dyDescent="0.2">
      <c r="A1113" s="22" t="s">
        <v>368</v>
      </c>
      <c r="B1113" s="3">
        <f>2.25</f>
        <v>2.25</v>
      </c>
      <c r="C1113" s="3">
        <v>0.8</v>
      </c>
      <c r="D1113" s="3">
        <v>0.1</v>
      </c>
      <c r="E1113" s="4">
        <f t="shared" ref="E1113" si="31">C1113*D1113</f>
        <v>8.0000000000000016E-2</v>
      </c>
      <c r="F1113" s="34"/>
    </row>
    <row r="1114" spans="1:6" s="1" customFormat="1" ht="15" x14ac:dyDescent="0.2">
      <c r="A1114" s="19"/>
      <c r="B1114" s="50"/>
      <c r="C1114" s="50"/>
      <c r="D1114" s="50"/>
      <c r="E1114" s="50"/>
      <c r="F1114" s="61"/>
    </row>
    <row r="1115" spans="1:6" ht="26.1" customHeight="1" x14ac:dyDescent="0.2">
      <c r="A1115" s="59" t="s">
        <v>246</v>
      </c>
      <c r="B1115" s="387" t="s">
        <v>115</v>
      </c>
      <c r="C1115" s="387"/>
      <c r="D1115" s="387"/>
      <c r="E1115" s="7" t="s">
        <v>13</v>
      </c>
      <c r="F1115" s="60">
        <f>F1118</f>
        <v>28.952000000000002</v>
      </c>
    </row>
    <row r="1116" spans="1:6" s="1" customFormat="1" ht="15" x14ac:dyDescent="0.2">
      <c r="A1116" s="19"/>
      <c r="B1116" s="50"/>
      <c r="C1116" s="50"/>
      <c r="D1116" s="50"/>
      <c r="E1116" s="50"/>
      <c r="F1116" s="61"/>
    </row>
    <row r="1117" spans="1:6" s="1" customFormat="1" ht="15" x14ac:dyDescent="0.2">
      <c r="A1117" s="63" t="s">
        <v>201</v>
      </c>
      <c r="B1117" s="2" t="s">
        <v>186</v>
      </c>
      <c r="C1117" s="2" t="s">
        <v>187</v>
      </c>
      <c r="D1117" s="2" t="s">
        <v>369</v>
      </c>
      <c r="E1117" s="2" t="s">
        <v>194</v>
      </c>
      <c r="F1117" s="28" t="s">
        <v>195</v>
      </c>
    </row>
    <row r="1118" spans="1:6" s="1" customFormat="1" ht="29.25" customHeight="1" x14ac:dyDescent="0.2">
      <c r="A1118" s="82" t="s">
        <v>364</v>
      </c>
      <c r="B1118" s="3" t="s">
        <v>362</v>
      </c>
      <c r="C1118" s="3">
        <f>B1106+2.33+8.83</f>
        <v>26.32</v>
      </c>
      <c r="D1118" s="3">
        <v>1.1000000000000001</v>
      </c>
      <c r="E1118" s="5">
        <f>C1118*D1118</f>
        <v>28.952000000000002</v>
      </c>
      <c r="F1118" s="31">
        <f>SUM(E1118:E1118)</f>
        <v>28.952000000000002</v>
      </c>
    </row>
    <row r="1119" spans="1:6" s="1" customFormat="1" ht="15" x14ac:dyDescent="0.2">
      <c r="A1119" s="19"/>
      <c r="B1119" s="50"/>
      <c r="C1119" s="50"/>
      <c r="D1119" s="50"/>
      <c r="E1119" s="50"/>
      <c r="F1119" s="61"/>
    </row>
    <row r="1120" spans="1:6" ht="24" customHeight="1" x14ac:dyDescent="0.2">
      <c r="A1120" s="59" t="s">
        <v>247</v>
      </c>
      <c r="B1120" s="387" t="s">
        <v>116</v>
      </c>
      <c r="C1120" s="387"/>
      <c r="D1120" s="387"/>
      <c r="E1120" s="7" t="s">
        <v>10</v>
      </c>
      <c r="F1120" s="60">
        <f>D1123</f>
        <v>124.48</v>
      </c>
    </row>
    <row r="1121" spans="1:6" s="1" customFormat="1" ht="15" x14ac:dyDescent="0.2">
      <c r="A1121" s="19"/>
      <c r="B1121" s="50"/>
      <c r="C1121" s="50"/>
      <c r="D1121" s="50"/>
      <c r="E1121" s="50"/>
      <c r="F1121" s="61"/>
    </row>
    <row r="1122" spans="1:6" s="1" customFormat="1" ht="15" x14ac:dyDescent="0.2">
      <c r="A1122" s="63"/>
      <c r="B1122" s="2" t="s">
        <v>186</v>
      </c>
      <c r="C1122" s="2" t="s">
        <v>187</v>
      </c>
      <c r="D1122" s="2" t="s">
        <v>370</v>
      </c>
      <c r="E1122" s="43"/>
      <c r="F1122" s="33"/>
    </row>
    <row r="1123" spans="1:6" s="1" customFormat="1" ht="29.25" customHeight="1" x14ac:dyDescent="0.2">
      <c r="A1123" s="83" t="s">
        <v>364</v>
      </c>
      <c r="B1123" s="3" t="s">
        <v>362</v>
      </c>
      <c r="C1123" s="3">
        <f>8.83*2</f>
        <v>17.66</v>
      </c>
      <c r="D1123" s="417">
        <f>SUM(C1123:C1125)</f>
        <v>124.48</v>
      </c>
      <c r="E1123" s="45"/>
      <c r="F1123" s="34"/>
    </row>
    <row r="1124" spans="1:6" s="1" customFormat="1" ht="29.25" customHeight="1" x14ac:dyDescent="0.2">
      <c r="A1124" s="430" t="s">
        <v>354</v>
      </c>
      <c r="B1124" s="3" t="s">
        <v>371</v>
      </c>
      <c r="C1124" s="3">
        <f>6.75*2</f>
        <v>13.5</v>
      </c>
      <c r="D1124" s="439"/>
      <c r="E1124" s="45"/>
      <c r="F1124" s="34"/>
    </row>
    <row r="1125" spans="1:6" s="1" customFormat="1" ht="29.25" customHeight="1" x14ac:dyDescent="0.2">
      <c r="A1125" s="432"/>
      <c r="B1125" s="3" t="s">
        <v>372</v>
      </c>
      <c r="C1125" s="3">
        <f>2.83*2+23.48*2+20*2+0.35*2</f>
        <v>93.320000000000007</v>
      </c>
      <c r="D1125" s="418"/>
      <c r="E1125" s="45"/>
      <c r="F1125" s="34"/>
    </row>
    <row r="1126" spans="1:6" s="1" customFormat="1" ht="15" x14ac:dyDescent="0.2">
      <c r="A1126" s="19"/>
      <c r="B1126" s="50"/>
      <c r="C1126" s="50"/>
      <c r="D1126" s="50"/>
      <c r="E1126" s="50"/>
      <c r="F1126" s="61"/>
    </row>
    <row r="1127" spans="1:6" ht="24" customHeight="1" x14ac:dyDescent="0.2">
      <c r="A1127" s="59" t="s">
        <v>248</v>
      </c>
      <c r="B1127" s="387" t="s">
        <v>117</v>
      </c>
      <c r="C1127" s="387"/>
      <c r="D1127" s="387"/>
      <c r="E1127" s="7" t="s">
        <v>13</v>
      </c>
      <c r="F1127" s="60">
        <f>D1130</f>
        <v>3.8430000000000004</v>
      </c>
    </row>
    <row r="1128" spans="1:6" s="1" customFormat="1" ht="15" x14ac:dyDescent="0.2">
      <c r="A1128" s="19"/>
      <c r="B1128" s="50"/>
      <c r="C1128" s="50"/>
      <c r="D1128" s="50"/>
      <c r="E1128" s="50"/>
      <c r="F1128" s="61"/>
    </row>
    <row r="1129" spans="1:6" s="1" customFormat="1" ht="15" x14ac:dyDescent="0.2">
      <c r="A1129" s="63" t="s">
        <v>201</v>
      </c>
      <c r="B1129" s="2" t="s">
        <v>187</v>
      </c>
      <c r="C1129" s="2" t="s">
        <v>369</v>
      </c>
      <c r="D1129" s="2" t="s">
        <v>194</v>
      </c>
      <c r="E1129" s="43"/>
      <c r="F1129" s="33"/>
    </row>
    <row r="1130" spans="1:6" s="1" customFormat="1" ht="29.25" customHeight="1" x14ac:dyDescent="0.2">
      <c r="A1130" s="82" t="s">
        <v>364</v>
      </c>
      <c r="B1130" s="3">
        <f>1.83</f>
        <v>1.83</v>
      </c>
      <c r="C1130" s="3">
        <v>2.1</v>
      </c>
      <c r="D1130" s="4">
        <f>B1130*C1130</f>
        <v>3.8430000000000004</v>
      </c>
      <c r="E1130" s="45"/>
      <c r="F1130" s="35"/>
    </row>
    <row r="1131" spans="1:6" s="1" customFormat="1" ht="15" x14ac:dyDescent="0.2">
      <c r="A1131" s="19"/>
      <c r="B1131" s="50"/>
      <c r="C1131" s="50"/>
      <c r="D1131" s="50"/>
      <c r="E1131" s="50"/>
      <c r="F1131" s="61"/>
    </row>
    <row r="1132" spans="1:6" ht="26.1" customHeight="1" x14ac:dyDescent="0.2">
      <c r="A1132" s="59" t="s">
        <v>249</v>
      </c>
      <c r="B1132" s="387" t="s">
        <v>118</v>
      </c>
      <c r="C1132" s="387"/>
      <c r="D1132" s="387"/>
      <c r="E1132" s="7" t="s">
        <v>13</v>
      </c>
      <c r="F1132" s="60">
        <f>F1135</f>
        <v>68.691499999999991</v>
      </c>
    </row>
    <row r="1133" spans="1:6" s="1" customFormat="1" ht="15" x14ac:dyDescent="0.2">
      <c r="A1133" s="19"/>
      <c r="B1133" s="50"/>
      <c r="C1133" s="50"/>
      <c r="D1133" s="50"/>
      <c r="E1133" s="50"/>
      <c r="F1133" s="61"/>
    </row>
    <row r="1134" spans="1:6" s="1" customFormat="1" ht="15" x14ac:dyDescent="0.2">
      <c r="A1134" s="63" t="s">
        <v>201</v>
      </c>
      <c r="B1134" s="2" t="s">
        <v>186</v>
      </c>
      <c r="C1134" s="2" t="s">
        <v>187</v>
      </c>
      <c r="D1134" s="2" t="s">
        <v>188</v>
      </c>
      <c r="E1134" s="2" t="s">
        <v>194</v>
      </c>
      <c r="F1134" s="28" t="s">
        <v>195</v>
      </c>
    </row>
    <row r="1135" spans="1:6" s="1" customFormat="1" ht="15" customHeight="1" x14ac:dyDescent="0.2">
      <c r="A1135" s="430" t="s">
        <v>354</v>
      </c>
      <c r="B1135" s="3" t="s">
        <v>355</v>
      </c>
      <c r="C1135" s="3">
        <f>7.92+2.78</f>
        <v>10.7</v>
      </c>
      <c r="D1135" s="3">
        <v>3.15</v>
      </c>
      <c r="E1135" s="5">
        <f>C1135*D1135</f>
        <v>33.704999999999998</v>
      </c>
      <c r="F1135" s="411">
        <f>SUM(E1135:E1138)</f>
        <v>68.691499999999991</v>
      </c>
    </row>
    <row r="1136" spans="1:6" s="1" customFormat="1" ht="15" x14ac:dyDescent="0.2">
      <c r="A1136" s="431"/>
      <c r="B1136" s="3" t="s">
        <v>356</v>
      </c>
      <c r="C1136" s="3">
        <v>0.77</v>
      </c>
      <c r="D1136" s="3">
        <v>4.53</v>
      </c>
      <c r="E1136" s="5">
        <f t="shared" ref="E1136:E1138" si="32">C1136*D1136</f>
        <v>3.4881000000000002</v>
      </c>
      <c r="F1136" s="412"/>
    </row>
    <row r="1137" spans="1:6" s="1" customFormat="1" ht="15" x14ac:dyDescent="0.2">
      <c r="A1137" s="431"/>
      <c r="B1137" s="3" t="s">
        <v>357</v>
      </c>
      <c r="C1137" s="3">
        <v>2.2400000000000002</v>
      </c>
      <c r="D1137" s="3">
        <v>1.1599999999999999</v>
      </c>
      <c r="E1137" s="5">
        <f t="shared" si="32"/>
        <v>2.5984000000000003</v>
      </c>
      <c r="F1137" s="412"/>
    </row>
    <row r="1138" spans="1:6" s="1" customFormat="1" ht="15" x14ac:dyDescent="0.2">
      <c r="A1138" s="432"/>
      <c r="B1138" s="3" t="s">
        <v>358</v>
      </c>
      <c r="C1138" s="3">
        <v>14.45</v>
      </c>
      <c r="D1138" s="3">
        <v>2</v>
      </c>
      <c r="E1138" s="5">
        <f t="shared" si="32"/>
        <v>28.9</v>
      </c>
      <c r="F1138" s="413"/>
    </row>
    <row r="1139" spans="1:6" s="1" customFormat="1" ht="15" x14ac:dyDescent="0.2">
      <c r="A1139" s="19"/>
      <c r="B1139" s="50"/>
      <c r="C1139" s="50"/>
      <c r="D1139" s="50"/>
      <c r="E1139" s="50"/>
      <c r="F1139" s="61"/>
    </row>
    <row r="1140" spans="1:6" ht="24" customHeight="1" x14ac:dyDescent="0.2">
      <c r="A1140" s="59" t="s">
        <v>250</v>
      </c>
      <c r="B1140" s="387" t="s">
        <v>119</v>
      </c>
      <c r="C1140" s="387"/>
      <c r="D1140" s="387"/>
      <c r="E1140" s="7" t="s">
        <v>13</v>
      </c>
      <c r="F1140" s="60">
        <f>F1143</f>
        <v>334.47579999999999</v>
      </c>
    </row>
    <row r="1141" spans="1:6" s="1" customFormat="1" ht="15" x14ac:dyDescent="0.2">
      <c r="A1141" s="19"/>
      <c r="B1141" s="50"/>
      <c r="C1141" s="50"/>
      <c r="D1141" s="50"/>
      <c r="E1141" s="50"/>
      <c r="F1141" s="61"/>
    </row>
    <row r="1142" spans="1:6" s="1" customFormat="1" ht="15" x14ac:dyDescent="0.2">
      <c r="A1142" s="63" t="s">
        <v>201</v>
      </c>
      <c r="B1142" s="2" t="s">
        <v>186</v>
      </c>
      <c r="C1142" s="2" t="s">
        <v>187</v>
      </c>
      <c r="D1142" s="2" t="s">
        <v>188</v>
      </c>
      <c r="E1142" s="2" t="s">
        <v>194</v>
      </c>
      <c r="F1142" s="28" t="s">
        <v>195</v>
      </c>
    </row>
    <row r="1143" spans="1:6" s="1" customFormat="1" ht="15" customHeight="1" x14ac:dyDescent="0.2">
      <c r="A1143" s="430" t="s">
        <v>354</v>
      </c>
      <c r="B1143" s="351" t="s">
        <v>373</v>
      </c>
      <c r="C1143" s="3">
        <f>4.88+5.62</f>
        <v>10.5</v>
      </c>
      <c r="D1143" s="3">
        <v>3.1</v>
      </c>
      <c r="E1143" s="5">
        <f>C1143*D1143</f>
        <v>32.550000000000004</v>
      </c>
      <c r="F1143" s="423">
        <f>SUM(E1143:E1147)</f>
        <v>334.47579999999999</v>
      </c>
    </row>
    <row r="1144" spans="1:6" s="1" customFormat="1" ht="15" x14ac:dyDescent="0.2">
      <c r="A1144" s="431"/>
      <c r="B1144" s="371"/>
      <c r="C1144" s="3">
        <v>5.1100000000000003</v>
      </c>
      <c r="D1144" s="3">
        <v>2.95</v>
      </c>
      <c r="E1144" s="5">
        <f t="shared" ref="E1144:E1146" si="33">C1144*D1144</f>
        <v>15.074500000000002</v>
      </c>
      <c r="F1144" s="423"/>
    </row>
    <row r="1145" spans="1:6" s="1" customFormat="1" ht="15" x14ac:dyDescent="0.2">
      <c r="A1145" s="431"/>
      <c r="B1145" s="352"/>
      <c r="C1145" s="3">
        <v>24.21</v>
      </c>
      <c r="D1145" s="3">
        <v>1.93</v>
      </c>
      <c r="E1145" s="5">
        <f t="shared" si="33"/>
        <v>46.725299999999997</v>
      </c>
      <c r="F1145" s="423"/>
    </row>
    <row r="1146" spans="1:6" s="1" customFormat="1" ht="15" x14ac:dyDescent="0.2">
      <c r="A1146" s="432"/>
      <c r="B1146" s="3" t="s">
        <v>374</v>
      </c>
      <c r="C1146" s="3">
        <v>10.92</v>
      </c>
      <c r="D1146" s="3">
        <v>11.05</v>
      </c>
      <c r="E1146" s="5">
        <f t="shared" si="33"/>
        <v>120.66600000000001</v>
      </c>
      <c r="F1146" s="423"/>
    </row>
    <row r="1147" spans="1:6" s="1" customFormat="1" ht="30" x14ac:dyDescent="0.2">
      <c r="A1147" s="82" t="s">
        <v>364</v>
      </c>
      <c r="B1147" s="3" t="s">
        <v>374</v>
      </c>
      <c r="C1147" s="3">
        <v>10.86</v>
      </c>
      <c r="D1147" s="3">
        <v>11</v>
      </c>
      <c r="E1147" s="5">
        <f t="shared" ref="E1147" si="34">C1147*D1147</f>
        <v>119.46</v>
      </c>
      <c r="F1147" s="423"/>
    </row>
    <row r="1148" spans="1:6" s="1" customFormat="1" ht="15" x14ac:dyDescent="0.2">
      <c r="A1148" s="19"/>
      <c r="B1148" s="50"/>
      <c r="C1148" s="50"/>
      <c r="D1148" s="50"/>
      <c r="E1148" s="50"/>
      <c r="F1148" s="61"/>
    </row>
    <row r="1149" spans="1:6" ht="26.1" customHeight="1" x14ac:dyDescent="0.2">
      <c r="A1149" s="59" t="s">
        <v>251</v>
      </c>
      <c r="B1149" s="387" t="s">
        <v>120</v>
      </c>
      <c r="C1149" s="387"/>
      <c r="D1149" s="387"/>
      <c r="E1149" s="7" t="s">
        <v>13</v>
      </c>
      <c r="F1149" s="60">
        <f>F1152</f>
        <v>334.47579999999999</v>
      </c>
    </row>
    <row r="1150" spans="1:6" s="1" customFormat="1" ht="15" x14ac:dyDescent="0.2">
      <c r="A1150" s="19"/>
      <c r="B1150" s="50"/>
      <c r="C1150" s="50"/>
      <c r="D1150" s="50"/>
      <c r="E1150" s="50"/>
      <c r="F1150" s="61"/>
    </row>
    <row r="1151" spans="1:6" s="1" customFormat="1" ht="15" x14ac:dyDescent="0.2">
      <c r="A1151" s="63" t="s">
        <v>201</v>
      </c>
      <c r="B1151" s="2" t="s">
        <v>186</v>
      </c>
      <c r="C1151" s="2" t="s">
        <v>187</v>
      </c>
      <c r="D1151" s="2" t="s">
        <v>188</v>
      </c>
      <c r="E1151" s="2" t="s">
        <v>194</v>
      </c>
      <c r="F1151" s="28" t="s">
        <v>195</v>
      </c>
    </row>
    <row r="1152" spans="1:6" s="1" customFormat="1" ht="15" customHeight="1" x14ac:dyDescent="0.2">
      <c r="A1152" s="430" t="s">
        <v>354</v>
      </c>
      <c r="B1152" s="351" t="s">
        <v>373</v>
      </c>
      <c r="C1152" s="3">
        <f>4.88+5.62</f>
        <v>10.5</v>
      </c>
      <c r="D1152" s="3">
        <v>3.1</v>
      </c>
      <c r="E1152" s="5">
        <f>C1152*D1152</f>
        <v>32.550000000000004</v>
      </c>
      <c r="F1152" s="423">
        <f>SUM(E1152:E1156)</f>
        <v>334.47579999999999</v>
      </c>
    </row>
    <row r="1153" spans="1:6" s="1" customFormat="1" ht="15" x14ac:dyDescent="0.2">
      <c r="A1153" s="431"/>
      <c r="B1153" s="371"/>
      <c r="C1153" s="3">
        <v>5.1100000000000003</v>
      </c>
      <c r="D1153" s="3">
        <v>2.95</v>
      </c>
      <c r="E1153" s="5">
        <f t="shared" ref="E1153:E1156" si="35">C1153*D1153</f>
        <v>15.074500000000002</v>
      </c>
      <c r="F1153" s="423"/>
    </row>
    <row r="1154" spans="1:6" s="1" customFormat="1" ht="15" x14ac:dyDescent="0.2">
      <c r="A1154" s="431"/>
      <c r="B1154" s="352"/>
      <c r="C1154" s="3">
        <v>24.21</v>
      </c>
      <c r="D1154" s="3">
        <v>1.93</v>
      </c>
      <c r="E1154" s="5">
        <f t="shared" si="35"/>
        <v>46.725299999999997</v>
      </c>
      <c r="F1154" s="423"/>
    </row>
    <row r="1155" spans="1:6" s="1" customFormat="1" ht="15" x14ac:dyDescent="0.2">
      <c r="A1155" s="432"/>
      <c r="B1155" s="3" t="s">
        <v>374</v>
      </c>
      <c r="C1155" s="3">
        <v>10.92</v>
      </c>
      <c r="D1155" s="3">
        <v>11.05</v>
      </c>
      <c r="E1155" s="5">
        <f t="shared" si="35"/>
        <v>120.66600000000001</v>
      </c>
      <c r="F1155" s="423"/>
    </row>
    <row r="1156" spans="1:6" s="1" customFormat="1" ht="30" x14ac:dyDescent="0.2">
      <c r="A1156" s="82" t="s">
        <v>364</v>
      </c>
      <c r="B1156" s="3" t="s">
        <v>374</v>
      </c>
      <c r="C1156" s="3">
        <v>10.86</v>
      </c>
      <c r="D1156" s="3">
        <v>11</v>
      </c>
      <c r="E1156" s="5">
        <f t="shared" si="35"/>
        <v>119.46</v>
      </c>
      <c r="F1156" s="423"/>
    </row>
    <row r="1157" spans="1:6" s="1" customFormat="1" ht="15" x14ac:dyDescent="0.2">
      <c r="A1157" s="19"/>
      <c r="B1157" s="50"/>
      <c r="C1157" s="50"/>
      <c r="D1157" s="50"/>
      <c r="E1157" s="50"/>
      <c r="F1157" s="61"/>
    </row>
    <row r="1158" spans="1:6" ht="24" customHeight="1" x14ac:dyDescent="0.2">
      <c r="A1158" s="59" t="s">
        <v>252</v>
      </c>
      <c r="B1158" s="387" t="s">
        <v>121</v>
      </c>
      <c r="C1158" s="387"/>
      <c r="D1158" s="387"/>
      <c r="E1158" s="7" t="s">
        <v>122</v>
      </c>
      <c r="F1158" s="60">
        <f>D1163</f>
        <v>67.2</v>
      </c>
    </row>
    <row r="1159" spans="1:6" s="1" customFormat="1" ht="15" x14ac:dyDescent="0.2">
      <c r="A1159" s="19"/>
      <c r="B1159" s="50"/>
      <c r="C1159" s="50"/>
      <c r="D1159" s="50"/>
      <c r="E1159" s="50"/>
      <c r="F1159" s="61"/>
    </row>
    <row r="1160" spans="1:6" s="1" customFormat="1" ht="15" x14ac:dyDescent="0.2">
      <c r="A1160" s="21" t="s">
        <v>186</v>
      </c>
      <c r="B1160" s="2" t="s">
        <v>189</v>
      </c>
      <c r="C1160" s="2" t="s">
        <v>295</v>
      </c>
      <c r="D1160" s="2" t="s">
        <v>313</v>
      </c>
      <c r="E1160" s="43"/>
      <c r="F1160" s="33"/>
    </row>
    <row r="1161" spans="1:6" s="1" customFormat="1" ht="15" customHeight="1" x14ac:dyDescent="0.2">
      <c r="A1161" s="22" t="s">
        <v>359</v>
      </c>
      <c r="B1161" s="3">
        <v>3.2</v>
      </c>
      <c r="C1161" s="5">
        <f>8*2</f>
        <v>16</v>
      </c>
      <c r="D1161" s="5">
        <f>B1161*C1161</f>
        <v>51.2</v>
      </c>
      <c r="E1161" s="45"/>
      <c r="F1161" s="34"/>
    </row>
    <row r="1162" spans="1:6" s="1" customFormat="1" ht="30" customHeight="1" x14ac:dyDescent="0.2">
      <c r="A1162" s="22" t="s">
        <v>360</v>
      </c>
      <c r="B1162" s="3">
        <v>3.2</v>
      </c>
      <c r="C1162" s="5">
        <v>5</v>
      </c>
      <c r="D1162" s="5">
        <f>B1162*C1162</f>
        <v>16</v>
      </c>
      <c r="E1162" s="45"/>
      <c r="F1162" s="34"/>
    </row>
    <row r="1163" spans="1:6" s="1" customFormat="1" ht="15" x14ac:dyDescent="0.2">
      <c r="A1163" s="355" t="s">
        <v>313</v>
      </c>
      <c r="B1163" s="350"/>
      <c r="C1163" s="350"/>
      <c r="D1163" s="2">
        <f>SUM(D1161:D1162)</f>
        <v>67.2</v>
      </c>
      <c r="E1163" s="43"/>
      <c r="F1163" s="35"/>
    </row>
    <row r="1164" spans="1:6" s="1" customFormat="1" ht="15" x14ac:dyDescent="0.2">
      <c r="A1164" s="19"/>
      <c r="B1164" s="50"/>
      <c r="C1164" s="50"/>
      <c r="D1164" s="50"/>
      <c r="E1164" s="50"/>
      <c r="F1164" s="61"/>
    </row>
    <row r="1165" spans="1:6" ht="24" customHeight="1" x14ac:dyDescent="0.2">
      <c r="A1165" s="57" t="s">
        <v>253</v>
      </c>
      <c r="B1165" s="388" t="s">
        <v>124</v>
      </c>
      <c r="C1165" s="388"/>
      <c r="D1165" s="388"/>
      <c r="E1165" s="6"/>
      <c r="F1165" s="58">
        <v>1</v>
      </c>
    </row>
    <row r="1166" spans="1:6" ht="40.5" customHeight="1" x14ac:dyDescent="0.2">
      <c r="A1166" s="59" t="s">
        <v>375</v>
      </c>
      <c r="B1166" s="348" t="s">
        <v>382</v>
      </c>
      <c r="C1166" s="348"/>
      <c r="D1166" s="348"/>
      <c r="E1166" s="25" t="s">
        <v>19</v>
      </c>
      <c r="F1166" s="60">
        <f>F1171</f>
        <v>0.35699999999999998</v>
      </c>
    </row>
    <row r="1167" spans="1:6" s="1" customFormat="1" ht="15" x14ac:dyDescent="0.2">
      <c r="A1167" s="19"/>
      <c r="B1167" s="50"/>
      <c r="C1167" s="50"/>
      <c r="D1167" s="50"/>
      <c r="E1167" s="50"/>
      <c r="F1167" s="20"/>
    </row>
    <row r="1168" spans="1:6" s="1" customFormat="1" ht="15" x14ac:dyDescent="0.2">
      <c r="A1168" s="21" t="s">
        <v>186</v>
      </c>
      <c r="B1168" s="2" t="s">
        <v>187</v>
      </c>
      <c r="C1168" s="2" t="s">
        <v>188</v>
      </c>
      <c r="D1168" s="2" t="s">
        <v>361</v>
      </c>
      <c r="E1168" s="2" t="s">
        <v>295</v>
      </c>
      <c r="F1168" s="28" t="s">
        <v>190</v>
      </c>
    </row>
    <row r="1169" spans="1:6" s="1" customFormat="1" ht="15" x14ac:dyDescent="0.2">
      <c r="A1169" s="22" t="s">
        <v>390</v>
      </c>
      <c r="B1169" s="3">
        <v>0.3</v>
      </c>
      <c r="C1169" s="3">
        <v>0.3</v>
      </c>
      <c r="D1169" s="3">
        <v>0.35</v>
      </c>
      <c r="E1169" s="23">
        <v>8</v>
      </c>
      <c r="F1169" s="38">
        <f>B1169*C1169*D1169*E1169</f>
        <v>0.252</v>
      </c>
    </row>
    <row r="1170" spans="1:6" s="1" customFormat="1" ht="15" x14ac:dyDescent="0.2">
      <c r="A1170" s="22" t="s">
        <v>391</v>
      </c>
      <c r="B1170" s="3">
        <v>0.25</v>
      </c>
      <c r="C1170" s="3">
        <v>0.2</v>
      </c>
      <c r="D1170" s="3">
        <v>0.35</v>
      </c>
      <c r="E1170" s="23">
        <v>6</v>
      </c>
      <c r="F1170" s="38">
        <f>B1170*C1170*D1170*E1170</f>
        <v>0.10499999999999998</v>
      </c>
    </row>
    <row r="1171" spans="1:6" s="1" customFormat="1" ht="15" x14ac:dyDescent="0.2">
      <c r="A1171" s="435" t="s">
        <v>392</v>
      </c>
      <c r="B1171" s="436"/>
      <c r="C1171" s="436"/>
      <c r="D1171" s="436"/>
      <c r="E1171" s="437"/>
      <c r="F1171" s="84">
        <f>SUM(F1169:F1170)</f>
        <v>0.35699999999999998</v>
      </c>
    </row>
    <row r="1172" spans="1:6" s="1" customFormat="1" ht="15" x14ac:dyDescent="0.2">
      <c r="A1172" s="19"/>
      <c r="B1172" s="50"/>
      <c r="C1172" s="50"/>
      <c r="D1172" s="50"/>
      <c r="E1172" s="50"/>
      <c r="F1172" s="20"/>
    </row>
    <row r="1173" spans="1:6" ht="30.75" customHeight="1" x14ac:dyDescent="0.2">
      <c r="A1173" s="59" t="s">
        <v>376</v>
      </c>
      <c r="B1173" s="348" t="s">
        <v>383</v>
      </c>
      <c r="C1173" s="348"/>
      <c r="D1173" s="348"/>
      <c r="E1173" s="25" t="s">
        <v>13</v>
      </c>
      <c r="F1173" s="60">
        <f>E1178</f>
        <v>1.02</v>
      </c>
    </row>
    <row r="1174" spans="1:6" s="1" customFormat="1" ht="15" x14ac:dyDescent="0.2">
      <c r="A1174" s="19"/>
      <c r="B1174" s="50"/>
      <c r="C1174" s="50"/>
      <c r="D1174" s="50"/>
      <c r="E1174" s="50"/>
      <c r="F1174" s="20"/>
    </row>
    <row r="1175" spans="1:6" s="1" customFormat="1" ht="15" x14ac:dyDescent="0.2">
      <c r="A1175" s="21" t="s">
        <v>186</v>
      </c>
      <c r="B1175" s="2" t="s">
        <v>187</v>
      </c>
      <c r="C1175" s="2" t="s">
        <v>188</v>
      </c>
      <c r="D1175" s="2" t="s">
        <v>295</v>
      </c>
      <c r="E1175" s="2" t="s">
        <v>194</v>
      </c>
      <c r="F1175" s="35"/>
    </row>
    <row r="1176" spans="1:6" s="1" customFormat="1" ht="15" x14ac:dyDescent="0.2">
      <c r="A1176" s="22" t="s">
        <v>390</v>
      </c>
      <c r="B1176" s="3">
        <v>0.3</v>
      </c>
      <c r="C1176" s="3">
        <v>0.3</v>
      </c>
      <c r="D1176" s="23">
        <v>8</v>
      </c>
      <c r="E1176" s="23">
        <f>B1176*C1176*D1176</f>
        <v>0.72</v>
      </c>
      <c r="F1176" s="34"/>
    </row>
    <row r="1177" spans="1:6" s="1" customFormat="1" ht="15" x14ac:dyDescent="0.2">
      <c r="A1177" s="22" t="s">
        <v>391</v>
      </c>
      <c r="B1177" s="3">
        <v>0.25</v>
      </c>
      <c r="C1177" s="3">
        <v>0.2</v>
      </c>
      <c r="D1177" s="23">
        <v>6</v>
      </c>
      <c r="E1177" s="23">
        <f>B1177*C1177*D1177</f>
        <v>0.30000000000000004</v>
      </c>
      <c r="F1177" s="34"/>
    </row>
    <row r="1178" spans="1:6" s="1" customFormat="1" ht="15" x14ac:dyDescent="0.2">
      <c r="A1178" s="372" t="s">
        <v>227</v>
      </c>
      <c r="B1178" s="373"/>
      <c r="C1178" s="373"/>
      <c r="D1178" s="373"/>
      <c r="E1178" s="2">
        <f>SUM(E1176:E1177)</f>
        <v>1.02</v>
      </c>
      <c r="F1178" s="34"/>
    </row>
    <row r="1179" spans="1:6" s="1" customFormat="1" ht="15" x14ac:dyDescent="0.2">
      <c r="A1179" s="19"/>
      <c r="B1179" s="50"/>
      <c r="C1179" s="50"/>
      <c r="D1179" s="50"/>
      <c r="E1179" s="50"/>
      <c r="F1179" s="20"/>
    </row>
    <row r="1180" spans="1:6" x14ac:dyDescent="0.2">
      <c r="A1180" s="59" t="s">
        <v>377</v>
      </c>
      <c r="B1180" s="348" t="s">
        <v>384</v>
      </c>
      <c r="C1180" s="348"/>
      <c r="D1180" s="348"/>
      <c r="E1180" s="25" t="s">
        <v>33</v>
      </c>
      <c r="F1180" s="60">
        <f>20+16</f>
        <v>36</v>
      </c>
    </row>
    <row r="1181" spans="1:6" s="1" customFormat="1" ht="15" x14ac:dyDescent="0.2">
      <c r="A1181" s="356" t="s">
        <v>544</v>
      </c>
      <c r="B1181" s="357"/>
      <c r="C1181" s="357"/>
      <c r="D1181" s="357"/>
      <c r="E1181" s="357"/>
      <c r="F1181" s="358"/>
    </row>
    <row r="1182" spans="1:6" ht="25.5" customHeight="1" x14ac:dyDescent="0.2">
      <c r="A1182" s="59" t="s">
        <v>378</v>
      </c>
      <c r="B1182" s="348" t="s">
        <v>385</v>
      </c>
      <c r="C1182" s="348"/>
      <c r="D1182" s="348"/>
      <c r="E1182" s="25" t="s">
        <v>386</v>
      </c>
      <c r="F1182" s="60">
        <f>285.6</f>
        <v>285.60000000000002</v>
      </c>
    </row>
    <row r="1183" spans="1:6" s="1" customFormat="1" ht="15" x14ac:dyDescent="0.2">
      <c r="A1183" s="356" t="s">
        <v>393</v>
      </c>
      <c r="B1183" s="357"/>
      <c r="C1183" s="357"/>
      <c r="D1183" s="357"/>
      <c r="E1183" s="357"/>
      <c r="F1183" s="358"/>
    </row>
    <row r="1184" spans="1:6" ht="30" customHeight="1" x14ac:dyDescent="0.2">
      <c r="A1184" s="59" t="s">
        <v>379</v>
      </c>
      <c r="B1184" s="348" t="s">
        <v>387</v>
      </c>
      <c r="C1184" s="348"/>
      <c r="D1184" s="348"/>
      <c r="E1184" s="25" t="s">
        <v>13</v>
      </c>
      <c r="F1184" s="60">
        <f>E1191</f>
        <v>1.5820000000000001</v>
      </c>
    </row>
    <row r="1185" spans="1:6" s="1" customFormat="1" ht="15" x14ac:dyDescent="0.2">
      <c r="A1185" s="19"/>
      <c r="B1185" s="50"/>
      <c r="C1185" s="50"/>
      <c r="D1185" s="50"/>
      <c r="E1185" s="50"/>
      <c r="F1185" s="20"/>
    </row>
    <row r="1186" spans="1:6" s="1" customFormat="1" ht="15" x14ac:dyDescent="0.2">
      <c r="A1186" s="21" t="s">
        <v>186</v>
      </c>
      <c r="B1186" s="2" t="s">
        <v>187</v>
      </c>
      <c r="C1186" s="2" t="s">
        <v>188</v>
      </c>
      <c r="D1186" s="2" t="s">
        <v>295</v>
      </c>
      <c r="E1186" s="2" t="s">
        <v>194</v>
      </c>
      <c r="F1186" s="35"/>
    </row>
    <row r="1187" spans="1:6" s="1" customFormat="1" ht="15" x14ac:dyDescent="0.2">
      <c r="A1187" s="22" t="s">
        <v>390</v>
      </c>
      <c r="B1187" s="3">
        <v>0.3</v>
      </c>
      <c r="C1187" s="3">
        <v>0.3</v>
      </c>
      <c r="D1187" s="23">
        <v>8</v>
      </c>
      <c r="E1187" s="23">
        <f>B1187*C1187*D1187</f>
        <v>0.72</v>
      </c>
      <c r="F1187" s="34"/>
    </row>
    <row r="1188" spans="1:6" s="1" customFormat="1" ht="15" x14ac:dyDescent="0.2">
      <c r="A1188" s="22" t="s">
        <v>391</v>
      </c>
      <c r="B1188" s="3">
        <v>0.25</v>
      </c>
      <c r="C1188" s="3">
        <v>0.2</v>
      </c>
      <c r="D1188" s="23">
        <v>6</v>
      </c>
      <c r="E1188" s="23">
        <f>B1188*C1188*D1188</f>
        <v>0.30000000000000004</v>
      </c>
      <c r="F1188" s="34"/>
    </row>
    <row r="1189" spans="1:6" s="1" customFormat="1" ht="15" x14ac:dyDescent="0.2">
      <c r="A1189" s="22" t="s">
        <v>394</v>
      </c>
      <c r="B1189" s="3">
        <v>0.3</v>
      </c>
      <c r="C1189" s="3">
        <v>0.3</v>
      </c>
      <c r="D1189" s="23">
        <v>5</v>
      </c>
      <c r="E1189" s="23">
        <f>B1189*C1189*D1189</f>
        <v>0.44999999999999996</v>
      </c>
      <c r="F1189" s="34"/>
    </row>
    <row r="1190" spans="1:6" s="1" customFormat="1" ht="15" x14ac:dyDescent="0.2">
      <c r="A1190" s="22" t="s">
        <v>545</v>
      </c>
      <c r="B1190" s="3">
        <v>0.14000000000000001</v>
      </c>
      <c r="C1190" s="3">
        <v>0.2</v>
      </c>
      <c r="D1190" s="23">
        <v>4</v>
      </c>
      <c r="E1190" s="23">
        <f>B1190*C1190*D1190</f>
        <v>0.11200000000000002</v>
      </c>
      <c r="F1190" s="34"/>
    </row>
    <row r="1191" spans="1:6" s="1" customFormat="1" ht="15" x14ac:dyDescent="0.2">
      <c r="A1191" s="372" t="s">
        <v>227</v>
      </c>
      <c r="B1191" s="373"/>
      <c r="C1191" s="373"/>
      <c r="D1191" s="373"/>
      <c r="E1191" s="2">
        <f>SUM(E1187:E1190)</f>
        <v>1.5820000000000001</v>
      </c>
      <c r="F1191" s="34"/>
    </row>
    <row r="1192" spans="1:6" s="1" customFormat="1" ht="15" x14ac:dyDescent="0.2">
      <c r="A1192" s="19"/>
      <c r="B1192" s="50"/>
      <c r="C1192" s="50"/>
      <c r="D1192" s="50"/>
      <c r="E1192" s="50"/>
      <c r="F1192" s="20"/>
    </row>
    <row r="1193" spans="1:6" ht="26.1" customHeight="1" x14ac:dyDescent="0.2">
      <c r="A1193" s="59" t="s">
        <v>380</v>
      </c>
      <c r="B1193" s="348" t="s">
        <v>388</v>
      </c>
      <c r="C1193" s="348"/>
      <c r="D1193" s="348"/>
      <c r="E1193" s="25" t="s">
        <v>19</v>
      </c>
      <c r="F1193" s="60">
        <f>F1198</f>
        <v>0.35699999999999998</v>
      </c>
    </row>
    <row r="1194" spans="1:6" s="1" customFormat="1" ht="15" x14ac:dyDescent="0.2">
      <c r="A1194" s="19"/>
      <c r="B1194" s="50"/>
      <c r="C1194" s="50"/>
      <c r="D1194" s="50"/>
      <c r="E1194" s="50"/>
      <c r="F1194" s="20"/>
    </row>
    <row r="1195" spans="1:6" s="1" customFormat="1" ht="15" x14ac:dyDescent="0.2">
      <c r="A1195" s="21" t="s">
        <v>186</v>
      </c>
      <c r="B1195" s="2" t="s">
        <v>187</v>
      </c>
      <c r="C1195" s="2" t="s">
        <v>188</v>
      </c>
      <c r="D1195" s="2" t="s">
        <v>361</v>
      </c>
      <c r="E1195" s="2" t="s">
        <v>295</v>
      </c>
      <c r="F1195" s="28" t="s">
        <v>190</v>
      </c>
    </row>
    <row r="1196" spans="1:6" s="1" customFormat="1" ht="15" x14ac:dyDescent="0.2">
      <c r="A1196" s="22" t="s">
        <v>390</v>
      </c>
      <c r="B1196" s="3">
        <v>0.3</v>
      </c>
      <c r="C1196" s="3">
        <v>0.3</v>
      </c>
      <c r="D1196" s="3">
        <v>0.35</v>
      </c>
      <c r="E1196" s="23">
        <v>8</v>
      </c>
      <c r="F1196" s="38">
        <f>B1196*C1196*D1196*E1196</f>
        <v>0.252</v>
      </c>
    </row>
    <row r="1197" spans="1:6" s="1" customFormat="1" ht="15" x14ac:dyDescent="0.2">
      <c r="A1197" s="22" t="s">
        <v>391</v>
      </c>
      <c r="B1197" s="3">
        <v>0.25</v>
      </c>
      <c r="C1197" s="3">
        <v>0.2</v>
      </c>
      <c r="D1197" s="3">
        <v>0.35</v>
      </c>
      <c r="E1197" s="23">
        <v>6</v>
      </c>
      <c r="F1197" s="38">
        <f>B1197*C1197*D1197*E1197</f>
        <v>0.10499999999999998</v>
      </c>
    </row>
    <row r="1198" spans="1:6" s="1" customFormat="1" ht="15" x14ac:dyDescent="0.2">
      <c r="A1198" s="435" t="s">
        <v>392</v>
      </c>
      <c r="B1198" s="436"/>
      <c r="C1198" s="436"/>
      <c r="D1198" s="436"/>
      <c r="E1198" s="437"/>
      <c r="F1198" s="84">
        <f>SUM(F1196:F1197)</f>
        <v>0.35699999999999998</v>
      </c>
    </row>
    <row r="1199" spans="1:6" s="1" customFormat="1" ht="15" x14ac:dyDescent="0.2">
      <c r="A1199" s="19"/>
      <c r="B1199" s="50"/>
      <c r="C1199" s="50"/>
      <c r="D1199" s="50"/>
      <c r="E1199" s="50"/>
      <c r="F1199" s="20"/>
    </row>
    <row r="1200" spans="1:6" ht="26.1" customHeight="1" x14ac:dyDescent="0.2">
      <c r="A1200" s="59" t="s">
        <v>381</v>
      </c>
      <c r="B1200" s="348" t="s">
        <v>389</v>
      </c>
      <c r="C1200" s="348"/>
      <c r="D1200" s="348"/>
      <c r="E1200" s="25" t="s">
        <v>19</v>
      </c>
      <c r="F1200" s="60">
        <f>F1205</f>
        <v>0.35699999999999998</v>
      </c>
    </row>
    <row r="1201" spans="1:6" s="1" customFormat="1" ht="15" x14ac:dyDescent="0.2">
      <c r="A1201" s="19"/>
      <c r="B1201" s="50"/>
      <c r="C1201" s="50"/>
      <c r="D1201" s="50"/>
      <c r="E1201" s="50"/>
      <c r="F1201" s="20"/>
    </row>
    <row r="1202" spans="1:6" s="1" customFormat="1" ht="15" x14ac:dyDescent="0.2">
      <c r="A1202" s="21" t="s">
        <v>186</v>
      </c>
      <c r="B1202" s="2" t="s">
        <v>187</v>
      </c>
      <c r="C1202" s="2" t="s">
        <v>188</v>
      </c>
      <c r="D1202" s="2" t="s">
        <v>361</v>
      </c>
      <c r="E1202" s="2" t="s">
        <v>295</v>
      </c>
      <c r="F1202" s="28" t="s">
        <v>190</v>
      </c>
    </row>
    <row r="1203" spans="1:6" s="1" customFormat="1" ht="15" x14ac:dyDescent="0.2">
      <c r="A1203" s="22" t="s">
        <v>390</v>
      </c>
      <c r="B1203" s="3">
        <v>0.3</v>
      </c>
      <c r="C1203" s="3">
        <v>0.3</v>
      </c>
      <c r="D1203" s="3">
        <v>0.35</v>
      </c>
      <c r="E1203" s="23">
        <v>8</v>
      </c>
      <c r="F1203" s="38">
        <f>B1203*C1203*D1203*E1203</f>
        <v>0.252</v>
      </c>
    </row>
    <row r="1204" spans="1:6" s="1" customFormat="1" ht="15" x14ac:dyDescent="0.2">
      <c r="A1204" s="22" t="s">
        <v>391</v>
      </c>
      <c r="B1204" s="3">
        <v>0.25</v>
      </c>
      <c r="C1204" s="3">
        <v>0.2</v>
      </c>
      <c r="D1204" s="3">
        <v>0.35</v>
      </c>
      <c r="E1204" s="23">
        <v>6</v>
      </c>
      <c r="F1204" s="38">
        <f>B1204*C1204*D1204*E1204</f>
        <v>0.10499999999999998</v>
      </c>
    </row>
    <row r="1205" spans="1:6" s="1" customFormat="1" ht="15" x14ac:dyDescent="0.2">
      <c r="A1205" s="435" t="s">
        <v>392</v>
      </c>
      <c r="B1205" s="436"/>
      <c r="C1205" s="436"/>
      <c r="D1205" s="436"/>
      <c r="E1205" s="437"/>
      <c r="F1205" s="84">
        <f>SUM(F1203:F1204)</f>
        <v>0.35699999999999998</v>
      </c>
    </row>
    <row r="1206" spans="1:6" s="1" customFormat="1" ht="15" x14ac:dyDescent="0.2">
      <c r="A1206" s="19"/>
      <c r="B1206" s="50"/>
      <c r="C1206" s="50"/>
      <c r="D1206" s="50"/>
      <c r="E1206" s="50"/>
      <c r="F1206" s="20"/>
    </row>
    <row r="1207" spans="1:6" ht="24" customHeight="1" x14ac:dyDescent="0.2">
      <c r="A1207" s="57" t="s">
        <v>254</v>
      </c>
      <c r="B1207" s="388" t="s">
        <v>126</v>
      </c>
      <c r="C1207" s="388"/>
      <c r="D1207" s="388"/>
      <c r="E1207" s="6"/>
      <c r="F1207" s="58">
        <v>1</v>
      </c>
    </row>
    <row r="1208" spans="1:6" ht="51.95" customHeight="1" x14ac:dyDescent="0.2">
      <c r="A1208" s="59" t="s">
        <v>255</v>
      </c>
      <c r="B1208" s="387" t="s">
        <v>128</v>
      </c>
      <c r="C1208" s="387"/>
      <c r="D1208" s="387"/>
      <c r="E1208" s="7" t="s">
        <v>13</v>
      </c>
      <c r="F1208" s="60">
        <f>E1212</f>
        <v>1.8</v>
      </c>
    </row>
    <row r="1209" spans="1:6" s="1" customFormat="1" ht="15" x14ac:dyDescent="0.2">
      <c r="A1209" s="19"/>
      <c r="B1209" s="50"/>
      <c r="C1209" s="50"/>
      <c r="D1209" s="50"/>
      <c r="E1209" s="50"/>
      <c r="F1209" s="20"/>
    </row>
    <row r="1210" spans="1:6" s="1" customFormat="1" ht="15" x14ac:dyDescent="0.2">
      <c r="A1210" s="21" t="s">
        <v>186</v>
      </c>
      <c r="B1210" s="2" t="s">
        <v>187</v>
      </c>
      <c r="C1210" s="2" t="s">
        <v>188</v>
      </c>
      <c r="D1210" s="2" t="s">
        <v>295</v>
      </c>
      <c r="E1210" s="2" t="s">
        <v>194</v>
      </c>
      <c r="F1210" s="35"/>
    </row>
    <row r="1211" spans="1:6" s="1" customFormat="1" ht="15" x14ac:dyDescent="0.2">
      <c r="A1211" s="22" t="s">
        <v>399</v>
      </c>
      <c r="B1211" s="3">
        <v>2.25</v>
      </c>
      <c r="C1211" s="3">
        <v>0.8</v>
      </c>
      <c r="D1211" s="23">
        <v>1</v>
      </c>
      <c r="E1211" s="23">
        <f>B1211*C1211*D1211</f>
        <v>1.8</v>
      </c>
      <c r="F1211" s="34"/>
    </row>
    <row r="1212" spans="1:6" s="1" customFormat="1" ht="15" x14ac:dyDescent="0.2">
      <c r="A1212" s="372" t="s">
        <v>227</v>
      </c>
      <c r="B1212" s="373"/>
      <c r="C1212" s="373"/>
      <c r="D1212" s="373"/>
      <c r="E1212" s="2">
        <f>SUM(E1211:E1211)</f>
        <v>1.8</v>
      </c>
      <c r="F1212" s="34"/>
    </row>
    <row r="1213" spans="1:6" s="1" customFormat="1" ht="15" x14ac:dyDescent="0.2">
      <c r="A1213" s="19"/>
      <c r="B1213" s="50"/>
      <c r="C1213" s="50"/>
      <c r="D1213" s="50"/>
      <c r="E1213" s="50"/>
      <c r="F1213" s="20"/>
    </row>
    <row r="1214" spans="1:6" ht="51.95" customHeight="1" x14ac:dyDescent="0.2">
      <c r="A1214" s="59" t="s">
        <v>256</v>
      </c>
      <c r="B1214" s="348" t="s">
        <v>396</v>
      </c>
      <c r="C1214" s="348"/>
      <c r="D1214" s="348"/>
      <c r="E1214" s="25" t="s">
        <v>386</v>
      </c>
      <c r="F1214" s="60">
        <f>B1219</f>
        <v>300.8</v>
      </c>
    </row>
    <row r="1215" spans="1:6" s="1" customFormat="1" ht="15" x14ac:dyDescent="0.2">
      <c r="A1215" s="19"/>
      <c r="B1215" s="50"/>
      <c r="C1215" s="50"/>
      <c r="D1215" s="50"/>
      <c r="E1215" s="50"/>
      <c r="F1215" s="20"/>
    </row>
    <row r="1216" spans="1:6" s="1" customFormat="1" ht="15" x14ac:dyDescent="0.2">
      <c r="A1216" s="21" t="s">
        <v>186</v>
      </c>
      <c r="B1216" s="2" t="s">
        <v>428</v>
      </c>
      <c r="C1216" s="47"/>
      <c r="D1216" s="47"/>
      <c r="E1216" s="47"/>
      <c r="F1216" s="35"/>
    </row>
    <row r="1217" spans="1:6" s="1" customFormat="1" ht="24.75" customHeight="1" x14ac:dyDescent="0.2">
      <c r="A1217" s="22" t="s">
        <v>400</v>
      </c>
      <c r="B1217" s="3">
        <f>204.44</f>
        <v>204.44</v>
      </c>
      <c r="C1217" s="70"/>
      <c r="D1217" s="374" t="s">
        <v>393</v>
      </c>
      <c r="E1217" s="374"/>
      <c r="F1217" s="375"/>
    </row>
    <row r="1218" spans="1:6" s="1" customFormat="1" ht="15" x14ac:dyDescent="0.2">
      <c r="A1218" s="22" t="s">
        <v>391</v>
      </c>
      <c r="B1218" s="3">
        <v>96.36</v>
      </c>
      <c r="C1218" s="70"/>
      <c r="D1218" s="70"/>
      <c r="E1218" s="45"/>
      <c r="F1218" s="34"/>
    </row>
    <row r="1219" spans="1:6" s="1" customFormat="1" ht="15" x14ac:dyDescent="0.2">
      <c r="A1219" s="21" t="s">
        <v>401</v>
      </c>
      <c r="B1219" s="2">
        <f>SUM(B1217:B1218)</f>
        <v>300.8</v>
      </c>
      <c r="C1219" s="46"/>
      <c r="D1219" s="46"/>
      <c r="E1219" s="43"/>
      <c r="F1219" s="86"/>
    </row>
    <row r="1220" spans="1:6" s="1" customFormat="1" ht="15" x14ac:dyDescent="0.2">
      <c r="A1220" s="19"/>
      <c r="B1220" s="50"/>
      <c r="C1220" s="50"/>
      <c r="D1220" s="50"/>
      <c r="E1220" s="50"/>
      <c r="F1220" s="20"/>
    </row>
    <row r="1221" spans="1:6" x14ac:dyDescent="0.2">
      <c r="A1221" s="59" t="s">
        <v>257</v>
      </c>
      <c r="B1221" s="348" t="s">
        <v>397</v>
      </c>
      <c r="C1221" s="348"/>
      <c r="D1221" s="348"/>
      <c r="E1221" s="25" t="s">
        <v>386</v>
      </c>
      <c r="F1221" s="60">
        <f>B1224</f>
        <v>2131.65</v>
      </c>
    </row>
    <row r="1222" spans="1:6" s="1" customFormat="1" ht="15" x14ac:dyDescent="0.2">
      <c r="A1222" s="19"/>
      <c r="B1222" s="50"/>
      <c r="C1222" s="50"/>
      <c r="D1222" s="50"/>
      <c r="E1222" s="50"/>
      <c r="F1222" s="20"/>
    </row>
    <row r="1223" spans="1:6" s="1" customFormat="1" ht="15" x14ac:dyDescent="0.2">
      <c r="A1223" s="21" t="s">
        <v>186</v>
      </c>
      <c r="B1223" s="2" t="s">
        <v>428</v>
      </c>
      <c r="C1223" s="47"/>
      <c r="D1223" s="47"/>
      <c r="E1223" s="47"/>
      <c r="F1223" s="35"/>
    </row>
    <row r="1224" spans="1:6" s="1" customFormat="1" ht="24.75" customHeight="1" x14ac:dyDescent="0.2">
      <c r="A1224" s="22" t="s">
        <v>402</v>
      </c>
      <c r="B1224" s="3">
        <v>2131.65</v>
      </c>
      <c r="C1224" s="70"/>
      <c r="D1224" s="374" t="s">
        <v>393</v>
      </c>
      <c r="E1224" s="374"/>
      <c r="F1224" s="375"/>
    </row>
    <row r="1225" spans="1:6" s="1" customFormat="1" ht="15" x14ac:dyDescent="0.2">
      <c r="A1225" s="21" t="s">
        <v>401</v>
      </c>
      <c r="B1225" s="2">
        <f>SUM(B1224:B1224)</f>
        <v>2131.65</v>
      </c>
      <c r="C1225" s="46"/>
      <c r="D1225" s="46"/>
      <c r="E1225" s="43"/>
      <c r="F1225" s="86"/>
    </row>
    <row r="1226" spans="1:6" s="1" customFormat="1" ht="15" x14ac:dyDescent="0.2">
      <c r="A1226" s="19"/>
      <c r="B1226" s="50"/>
      <c r="C1226" s="50"/>
      <c r="D1226" s="50"/>
      <c r="E1226" s="50"/>
      <c r="F1226" s="20"/>
    </row>
    <row r="1227" spans="1:6" ht="54.75" customHeight="1" x14ac:dyDescent="0.2">
      <c r="A1227" s="59" t="s">
        <v>395</v>
      </c>
      <c r="B1227" s="348" t="s">
        <v>398</v>
      </c>
      <c r="C1227" s="348"/>
      <c r="D1227" s="348"/>
      <c r="E1227" s="25" t="s">
        <v>386</v>
      </c>
      <c r="F1227" s="60">
        <f>B1236</f>
        <v>4130.38</v>
      </c>
    </row>
    <row r="1228" spans="1:6" s="1" customFormat="1" ht="15" x14ac:dyDescent="0.2">
      <c r="A1228" s="19"/>
      <c r="B1228" s="50"/>
      <c r="C1228" s="50"/>
      <c r="D1228" s="50"/>
      <c r="E1228" s="50"/>
      <c r="F1228" s="20"/>
    </row>
    <row r="1229" spans="1:6" s="1" customFormat="1" ht="15" x14ac:dyDescent="0.2">
      <c r="A1229" s="21" t="s">
        <v>186</v>
      </c>
      <c r="B1229" s="2" t="s">
        <v>428</v>
      </c>
      <c r="C1229" s="47"/>
      <c r="D1229" s="47"/>
      <c r="E1229" s="47"/>
      <c r="F1229" s="35"/>
    </row>
    <row r="1230" spans="1:6" s="1" customFormat="1" ht="24.75" customHeight="1" x14ac:dyDescent="0.2">
      <c r="A1230" s="22" t="s">
        <v>407</v>
      </c>
      <c r="B1230" s="3">
        <v>643.24</v>
      </c>
      <c r="C1230" s="70"/>
      <c r="D1230" s="374" t="s">
        <v>393</v>
      </c>
      <c r="E1230" s="374"/>
      <c r="F1230" s="375"/>
    </row>
    <row r="1231" spans="1:6" s="1" customFormat="1" ht="15" x14ac:dyDescent="0.2">
      <c r="A1231" s="22" t="s">
        <v>408</v>
      </c>
      <c r="B1231" s="3">
        <v>719.37</v>
      </c>
      <c r="C1231" s="70"/>
      <c r="D1231" s="70"/>
      <c r="E1231" s="45"/>
      <c r="F1231" s="34"/>
    </row>
    <row r="1232" spans="1:6" s="1" customFormat="1" ht="24.75" customHeight="1" x14ac:dyDescent="0.2">
      <c r="A1232" s="22" t="s">
        <v>409</v>
      </c>
      <c r="B1232" s="3">
        <v>1456.94</v>
      </c>
      <c r="C1232" s="70"/>
      <c r="D1232" s="374" t="s">
        <v>413</v>
      </c>
      <c r="E1232" s="374"/>
      <c r="F1232" s="375"/>
    </row>
    <row r="1233" spans="1:6" s="1" customFormat="1" ht="15" x14ac:dyDescent="0.2">
      <c r="A1233" s="22" t="s">
        <v>410</v>
      </c>
      <c r="B1233" s="3">
        <v>185.86</v>
      </c>
      <c r="C1233" s="70"/>
      <c r="D1233" s="70"/>
      <c r="E1233" s="45"/>
      <c r="F1233" s="34"/>
    </row>
    <row r="1234" spans="1:6" s="1" customFormat="1" ht="15" x14ac:dyDescent="0.2">
      <c r="A1234" s="22" t="s">
        <v>411</v>
      </c>
      <c r="B1234" s="3">
        <v>224.26</v>
      </c>
      <c r="C1234" s="70"/>
      <c r="D1234" s="70"/>
      <c r="E1234" s="45"/>
      <c r="F1234" s="34"/>
    </row>
    <row r="1235" spans="1:6" s="39" customFormat="1" ht="15" x14ac:dyDescent="0.2">
      <c r="A1235" s="87" t="s">
        <v>412</v>
      </c>
      <c r="B1235" s="15">
        <f>900.71</f>
        <v>900.71</v>
      </c>
      <c r="C1235" s="88"/>
      <c r="D1235" s="88"/>
      <c r="E1235" s="78"/>
      <c r="F1235" s="89"/>
    </row>
    <row r="1236" spans="1:6" s="1" customFormat="1" ht="15" x14ac:dyDescent="0.2">
      <c r="A1236" s="21" t="s">
        <v>401</v>
      </c>
      <c r="B1236" s="2">
        <f>SUM(B1230:B1235)</f>
        <v>4130.38</v>
      </c>
      <c r="C1236" s="46"/>
      <c r="D1236" s="46"/>
      <c r="E1236" s="43"/>
      <c r="F1236" s="86"/>
    </row>
    <row r="1237" spans="1:6" s="1" customFormat="1" ht="15" x14ac:dyDescent="0.2">
      <c r="A1237" s="19"/>
      <c r="B1237" s="50"/>
      <c r="C1237" s="50"/>
      <c r="D1237" s="50"/>
      <c r="E1237" s="50"/>
      <c r="F1237" s="20"/>
    </row>
    <row r="1238" spans="1:6" ht="24" customHeight="1" x14ac:dyDescent="0.2">
      <c r="A1238" s="57" t="s">
        <v>258</v>
      </c>
      <c r="B1238" s="388" t="s">
        <v>40</v>
      </c>
      <c r="C1238" s="388"/>
      <c r="D1238" s="388"/>
      <c r="E1238" s="6"/>
      <c r="F1238" s="58">
        <v>1</v>
      </c>
    </row>
    <row r="1239" spans="1:6" ht="51.95" customHeight="1" x14ac:dyDescent="0.2">
      <c r="A1239" s="59" t="s">
        <v>259</v>
      </c>
      <c r="B1239" s="387" t="s">
        <v>132</v>
      </c>
      <c r="C1239" s="387"/>
      <c r="D1239" s="387"/>
      <c r="E1239" s="7" t="s">
        <v>13</v>
      </c>
      <c r="F1239" s="60">
        <f>F1242</f>
        <v>16.107500000000002</v>
      </c>
    </row>
    <row r="1240" spans="1:6" s="1" customFormat="1" ht="15" x14ac:dyDescent="0.2">
      <c r="A1240" s="19"/>
      <c r="B1240" s="50"/>
      <c r="C1240" s="50"/>
      <c r="D1240" s="50"/>
      <c r="E1240" s="50"/>
      <c r="F1240" s="61"/>
    </row>
    <row r="1241" spans="1:6" s="1" customFormat="1" ht="15" x14ac:dyDescent="0.2">
      <c r="A1241" s="63" t="s">
        <v>403</v>
      </c>
      <c r="B1241" s="2" t="s">
        <v>186</v>
      </c>
      <c r="C1241" s="2" t="s">
        <v>192</v>
      </c>
      <c r="D1241" s="2" t="s">
        <v>189</v>
      </c>
      <c r="E1241" s="2" t="s">
        <v>194</v>
      </c>
      <c r="F1241" s="28" t="s">
        <v>195</v>
      </c>
    </row>
    <row r="1242" spans="1:6" s="1" customFormat="1" ht="15" x14ac:dyDescent="0.2">
      <c r="A1242" s="66" t="s">
        <v>404</v>
      </c>
      <c r="B1242" s="3" t="s">
        <v>405</v>
      </c>
      <c r="C1242" s="3">
        <f>4.3</f>
        <v>4.3</v>
      </c>
      <c r="D1242" s="3">
        <v>2</v>
      </c>
      <c r="E1242" s="5">
        <f>C1242*D1242</f>
        <v>8.6</v>
      </c>
      <c r="F1242" s="441">
        <f>SUM(E1242:E1243)</f>
        <v>16.107500000000002</v>
      </c>
    </row>
    <row r="1243" spans="1:6" s="1" customFormat="1" ht="15" x14ac:dyDescent="0.2">
      <c r="A1243" s="66" t="s">
        <v>368</v>
      </c>
      <c r="B1243" s="3" t="s">
        <v>405</v>
      </c>
      <c r="C1243" s="3">
        <f>2.25+0.8*2</f>
        <v>3.85</v>
      </c>
      <c r="D1243" s="3">
        <v>1.95</v>
      </c>
      <c r="E1243" s="5">
        <f>C1243*D1243</f>
        <v>7.5075000000000003</v>
      </c>
      <c r="F1243" s="442"/>
    </row>
    <row r="1244" spans="1:6" s="1" customFormat="1" ht="15" x14ac:dyDescent="0.2">
      <c r="A1244" s="19"/>
      <c r="B1244" s="50"/>
      <c r="C1244" s="50"/>
      <c r="D1244" s="50"/>
      <c r="E1244" s="50"/>
      <c r="F1244" s="61"/>
    </row>
    <row r="1245" spans="1:6" ht="24" customHeight="1" x14ac:dyDescent="0.2">
      <c r="A1245" s="57" t="s">
        <v>260</v>
      </c>
      <c r="B1245" s="388" t="s">
        <v>135</v>
      </c>
      <c r="C1245" s="388"/>
      <c r="D1245" s="388"/>
      <c r="E1245" s="6"/>
      <c r="F1245" s="58">
        <v>1</v>
      </c>
    </row>
    <row r="1246" spans="1:6" ht="51.95" customHeight="1" x14ac:dyDescent="0.2">
      <c r="A1246" s="59" t="s">
        <v>261</v>
      </c>
      <c r="B1246" s="348" t="s">
        <v>421</v>
      </c>
      <c r="C1246" s="348"/>
      <c r="D1246" s="348"/>
      <c r="E1246" s="25" t="s">
        <v>386</v>
      </c>
      <c r="F1246" s="60">
        <f>B1252</f>
        <v>404.8</v>
      </c>
    </row>
    <row r="1247" spans="1:6" s="1" customFormat="1" ht="15" x14ac:dyDescent="0.2">
      <c r="A1247" s="19"/>
      <c r="B1247" s="50"/>
      <c r="C1247" s="50"/>
      <c r="D1247" s="50"/>
      <c r="E1247" s="50"/>
      <c r="F1247" s="20"/>
    </row>
    <row r="1248" spans="1:6" s="1" customFormat="1" ht="15" x14ac:dyDescent="0.2">
      <c r="A1248" s="21" t="s">
        <v>186</v>
      </c>
      <c r="B1248" s="2" t="s">
        <v>428</v>
      </c>
      <c r="C1248" s="47"/>
      <c r="D1248" s="47"/>
      <c r="E1248" s="47"/>
      <c r="F1248" s="35"/>
    </row>
    <row r="1249" spans="1:6" s="1" customFormat="1" ht="24.75" customHeight="1" x14ac:dyDescent="0.2">
      <c r="A1249" s="22" t="s">
        <v>422</v>
      </c>
      <c r="B1249" s="3">
        <f>77.08+50.11</f>
        <v>127.19</v>
      </c>
      <c r="C1249" s="70"/>
      <c r="D1249" s="374" t="s">
        <v>427</v>
      </c>
      <c r="E1249" s="374"/>
      <c r="F1249" s="375"/>
    </row>
    <row r="1250" spans="1:6" s="1" customFormat="1" ht="15" x14ac:dyDescent="0.2">
      <c r="A1250" s="22" t="s">
        <v>423</v>
      </c>
      <c r="B1250" s="3">
        <f>100.05+63.48</f>
        <v>163.53</v>
      </c>
      <c r="C1250" s="70"/>
      <c r="D1250" s="70"/>
      <c r="E1250" s="45"/>
      <c r="F1250" s="34"/>
    </row>
    <row r="1251" spans="1:6" s="1" customFormat="1" ht="15" x14ac:dyDescent="0.2">
      <c r="A1251" s="22" t="s">
        <v>543</v>
      </c>
      <c r="B1251" s="3">
        <f>43.9+50.48+6.59+13.11</f>
        <v>114.08</v>
      </c>
      <c r="C1251" s="70"/>
      <c r="D1251" s="70"/>
      <c r="E1251" s="45"/>
      <c r="F1251" s="34"/>
    </row>
    <row r="1252" spans="1:6" s="1" customFormat="1" ht="15" x14ac:dyDescent="0.2">
      <c r="A1252" s="21" t="s">
        <v>401</v>
      </c>
      <c r="B1252" s="2">
        <f>SUM(B1249:B1251)</f>
        <v>404.8</v>
      </c>
      <c r="C1252" s="46"/>
      <c r="D1252" s="46"/>
      <c r="E1252" s="43"/>
      <c r="F1252" s="86"/>
    </row>
    <row r="1253" spans="1:6" s="1" customFormat="1" ht="15" x14ac:dyDescent="0.2">
      <c r="A1253" s="19"/>
      <c r="B1253" s="50"/>
      <c r="C1253" s="50"/>
      <c r="D1253" s="50"/>
      <c r="E1253" s="50"/>
      <c r="F1253" s="20"/>
    </row>
    <row r="1254" spans="1:6" ht="51.95" customHeight="1" x14ac:dyDescent="0.2">
      <c r="A1254" s="59" t="s">
        <v>414</v>
      </c>
      <c r="B1254" s="348" t="s">
        <v>406</v>
      </c>
      <c r="C1254" s="348"/>
      <c r="D1254" s="348"/>
      <c r="E1254" s="25" t="s">
        <v>386</v>
      </c>
      <c r="F1254" s="60">
        <f>B1259</f>
        <v>1433.3200000000002</v>
      </c>
    </row>
    <row r="1255" spans="1:6" s="1" customFormat="1" ht="15" x14ac:dyDescent="0.2">
      <c r="A1255" s="19"/>
      <c r="B1255" s="50"/>
      <c r="C1255" s="50"/>
      <c r="D1255" s="50"/>
      <c r="E1255" s="50"/>
      <c r="F1255" s="20"/>
    </row>
    <row r="1256" spans="1:6" s="1" customFormat="1" ht="15" x14ac:dyDescent="0.2">
      <c r="A1256" s="21" t="s">
        <v>186</v>
      </c>
      <c r="B1256" s="2" t="s">
        <v>428</v>
      </c>
      <c r="C1256" s="47"/>
      <c r="D1256" s="47"/>
      <c r="E1256" s="47"/>
      <c r="F1256" s="35"/>
    </row>
    <row r="1257" spans="1:6" s="1" customFormat="1" ht="24.75" customHeight="1" x14ac:dyDescent="0.2">
      <c r="A1257" s="22" t="s">
        <v>425</v>
      </c>
      <c r="B1257" s="3">
        <v>937.6</v>
      </c>
      <c r="C1257" s="70"/>
      <c r="D1257" s="374" t="s">
        <v>424</v>
      </c>
      <c r="E1257" s="374"/>
      <c r="F1257" s="375"/>
    </row>
    <row r="1258" spans="1:6" s="1" customFormat="1" ht="15" x14ac:dyDescent="0.2">
      <c r="A1258" s="22" t="s">
        <v>426</v>
      </c>
      <c r="B1258" s="3">
        <v>495.72</v>
      </c>
      <c r="C1258" s="70"/>
      <c r="D1258" s="70"/>
      <c r="E1258" s="45"/>
      <c r="F1258" s="34"/>
    </row>
    <row r="1259" spans="1:6" s="1" customFormat="1" ht="15" x14ac:dyDescent="0.2">
      <c r="A1259" s="21" t="s">
        <v>401</v>
      </c>
      <c r="B1259" s="2">
        <f>SUM(B1257:B1258)</f>
        <v>1433.3200000000002</v>
      </c>
      <c r="C1259" s="46"/>
      <c r="D1259" s="46"/>
      <c r="E1259" s="43"/>
      <c r="F1259" s="86"/>
    </row>
    <row r="1260" spans="1:6" s="1" customFormat="1" ht="15" x14ac:dyDescent="0.2">
      <c r="A1260" s="19"/>
      <c r="B1260" s="50"/>
      <c r="C1260" s="50"/>
      <c r="D1260" s="50"/>
      <c r="E1260" s="50"/>
      <c r="F1260" s="20"/>
    </row>
    <row r="1261" spans="1:6" ht="39" customHeight="1" x14ac:dyDescent="0.2">
      <c r="A1261" s="59" t="s">
        <v>415</v>
      </c>
      <c r="B1261" s="348" t="s">
        <v>138</v>
      </c>
      <c r="C1261" s="348"/>
      <c r="D1261" s="348"/>
      <c r="E1261" s="25" t="s">
        <v>13</v>
      </c>
      <c r="F1261" s="60">
        <f>B1268</f>
        <v>382.11950000000002</v>
      </c>
    </row>
    <row r="1262" spans="1:6" s="1" customFormat="1" ht="15" x14ac:dyDescent="0.2">
      <c r="A1262" s="19"/>
      <c r="B1262" s="50"/>
      <c r="C1262" s="50"/>
      <c r="D1262" s="50"/>
      <c r="E1262" s="50"/>
      <c r="F1262" s="20"/>
    </row>
    <row r="1263" spans="1:6" s="1" customFormat="1" ht="15" x14ac:dyDescent="0.2">
      <c r="A1263" s="21" t="s">
        <v>186</v>
      </c>
      <c r="B1263" s="2" t="s">
        <v>194</v>
      </c>
      <c r="C1263" s="47"/>
      <c r="D1263" s="47"/>
      <c r="E1263" s="47"/>
      <c r="F1263" s="35"/>
    </row>
    <row r="1264" spans="1:6" s="1" customFormat="1" ht="24.75" customHeight="1" x14ac:dyDescent="0.2">
      <c r="A1264" s="22" t="s">
        <v>429</v>
      </c>
      <c r="B1264" s="3">
        <f>(5.31+3.9+11.73+1.11)*3.34+3.9*2.75</f>
        <v>84.371999999999986</v>
      </c>
      <c r="C1264" s="70"/>
      <c r="D1264" s="374"/>
      <c r="E1264" s="374"/>
      <c r="F1264" s="375"/>
    </row>
    <row r="1265" spans="1:6" s="1" customFormat="1" ht="15" x14ac:dyDescent="0.2">
      <c r="A1265" s="22" t="s">
        <v>430</v>
      </c>
      <c r="B1265" s="3">
        <f>17.25*12.19</f>
        <v>210.2775</v>
      </c>
      <c r="C1265" s="70"/>
      <c r="D1265" s="70"/>
      <c r="E1265" s="45"/>
      <c r="F1265" s="34"/>
    </row>
    <row r="1266" spans="1:6" s="1" customFormat="1" ht="25.5" x14ac:dyDescent="0.2">
      <c r="A1266" s="22" t="s">
        <v>431</v>
      </c>
      <c r="B1266" s="3">
        <f>9.68*2.5+5.25*1.4</f>
        <v>31.549999999999997</v>
      </c>
      <c r="C1266" s="70"/>
      <c r="D1266" s="70"/>
      <c r="E1266" s="45"/>
      <c r="F1266" s="34"/>
    </row>
    <row r="1267" spans="1:6" s="1" customFormat="1" ht="15" x14ac:dyDescent="0.2">
      <c r="A1267" s="22" t="s">
        <v>432</v>
      </c>
      <c r="B1267" s="3">
        <v>55.92</v>
      </c>
      <c r="C1267" s="70"/>
      <c r="D1267" s="70"/>
      <c r="E1267" s="45"/>
      <c r="F1267" s="34"/>
    </row>
    <row r="1268" spans="1:6" s="1" customFormat="1" ht="15" x14ac:dyDescent="0.2">
      <c r="A1268" s="21" t="s">
        <v>401</v>
      </c>
      <c r="B1268" s="2">
        <f>SUM(B1264:B1267)</f>
        <v>382.11950000000002</v>
      </c>
      <c r="C1268" s="46"/>
      <c r="D1268" s="46"/>
      <c r="E1268" s="43"/>
      <c r="F1268" s="86"/>
    </row>
    <row r="1269" spans="1:6" s="1" customFormat="1" ht="15" x14ac:dyDescent="0.2">
      <c r="A1269" s="19"/>
      <c r="B1269" s="50"/>
      <c r="C1269" s="50"/>
      <c r="D1269" s="50"/>
      <c r="E1269" s="50"/>
      <c r="F1269" s="20"/>
    </row>
    <row r="1270" spans="1:6" ht="26.1" customHeight="1" x14ac:dyDescent="0.2">
      <c r="A1270" s="59" t="s">
        <v>416</v>
      </c>
      <c r="B1270" s="348" t="s">
        <v>140</v>
      </c>
      <c r="C1270" s="348"/>
      <c r="D1270" s="348"/>
      <c r="E1270" s="25" t="s">
        <v>10</v>
      </c>
      <c r="F1270" s="60">
        <f>B1275</f>
        <v>57.93</v>
      </c>
    </row>
    <row r="1271" spans="1:6" s="1" customFormat="1" ht="15" x14ac:dyDescent="0.2">
      <c r="A1271" s="19"/>
      <c r="B1271" s="50"/>
      <c r="C1271" s="50"/>
      <c r="D1271" s="50"/>
      <c r="E1271" s="50"/>
      <c r="F1271" s="20"/>
    </row>
    <row r="1272" spans="1:6" s="1" customFormat="1" ht="15" x14ac:dyDescent="0.2">
      <c r="A1272" s="21" t="s">
        <v>186</v>
      </c>
      <c r="B1272" s="2" t="s">
        <v>187</v>
      </c>
      <c r="C1272" s="47"/>
      <c r="D1272" s="47"/>
      <c r="E1272" s="47"/>
      <c r="F1272" s="35"/>
    </row>
    <row r="1273" spans="1:6" s="1" customFormat="1" ht="15" x14ac:dyDescent="0.2">
      <c r="A1273" s="22" t="s">
        <v>430</v>
      </c>
      <c r="B1273" s="3">
        <f>13.19*2</f>
        <v>26.38</v>
      </c>
      <c r="C1273" s="70"/>
      <c r="D1273" s="70"/>
      <c r="E1273" s="45"/>
      <c r="F1273" s="34"/>
    </row>
    <row r="1274" spans="1:6" s="1" customFormat="1" ht="15" x14ac:dyDescent="0.2">
      <c r="A1274" s="22" t="s">
        <v>432</v>
      </c>
      <c r="B1274" s="3">
        <f>31.55</f>
        <v>31.55</v>
      </c>
      <c r="C1274" s="70"/>
      <c r="D1274" s="70"/>
      <c r="E1274" s="45"/>
      <c r="F1274" s="34"/>
    </row>
    <row r="1275" spans="1:6" s="1" customFormat="1" ht="15" x14ac:dyDescent="0.2">
      <c r="A1275" s="21" t="s">
        <v>433</v>
      </c>
      <c r="B1275" s="2">
        <f>SUM(B1273:B1274)</f>
        <v>57.93</v>
      </c>
      <c r="C1275" s="46"/>
      <c r="D1275" s="46"/>
      <c r="E1275" s="43"/>
      <c r="F1275" s="86"/>
    </row>
    <row r="1276" spans="1:6" s="1" customFormat="1" ht="15" x14ac:dyDescent="0.2">
      <c r="A1276" s="19"/>
      <c r="B1276" s="50"/>
      <c r="C1276" s="50"/>
      <c r="D1276" s="50"/>
      <c r="E1276" s="50"/>
      <c r="F1276" s="20"/>
    </row>
    <row r="1277" spans="1:6" ht="43.5" customHeight="1" x14ac:dyDescent="0.2">
      <c r="A1277" s="59" t="s">
        <v>417</v>
      </c>
      <c r="B1277" s="348" t="s">
        <v>1561</v>
      </c>
      <c r="C1277" s="348"/>
      <c r="D1277" s="348"/>
      <c r="E1277" s="25" t="s">
        <v>10</v>
      </c>
      <c r="F1277" s="60">
        <f>B1282</f>
        <v>42.65</v>
      </c>
    </row>
    <row r="1278" spans="1:6" s="1" customFormat="1" ht="15" x14ac:dyDescent="0.2">
      <c r="A1278" s="19"/>
      <c r="B1278" s="50"/>
      <c r="C1278" s="50"/>
      <c r="D1278" s="50"/>
      <c r="E1278" s="50"/>
      <c r="F1278" s="20"/>
    </row>
    <row r="1279" spans="1:6" s="1" customFormat="1" ht="15" x14ac:dyDescent="0.2">
      <c r="A1279" s="21" t="s">
        <v>186</v>
      </c>
      <c r="B1279" s="2" t="s">
        <v>187</v>
      </c>
      <c r="C1279" s="47"/>
      <c r="D1279" s="47"/>
      <c r="E1279" s="47"/>
      <c r="F1279" s="35"/>
    </row>
    <row r="1280" spans="1:6" s="1" customFormat="1" ht="15" x14ac:dyDescent="0.2">
      <c r="A1280" s="22" t="s">
        <v>430</v>
      </c>
      <c r="B1280" s="3">
        <f>17.25*2</f>
        <v>34.5</v>
      </c>
      <c r="C1280" s="70"/>
      <c r="D1280" s="70"/>
      <c r="E1280" s="45"/>
      <c r="F1280" s="34"/>
    </row>
    <row r="1281" spans="1:6" s="1" customFormat="1" ht="15" x14ac:dyDescent="0.2">
      <c r="A1281" s="22" t="s">
        <v>432</v>
      </c>
      <c r="B1281" s="3">
        <v>8.15</v>
      </c>
      <c r="C1281" s="70"/>
      <c r="D1281" s="70"/>
      <c r="E1281" s="45"/>
      <c r="F1281" s="34"/>
    </row>
    <row r="1282" spans="1:6" s="1" customFormat="1" ht="15" x14ac:dyDescent="0.2">
      <c r="A1282" s="21" t="s">
        <v>433</v>
      </c>
      <c r="B1282" s="2">
        <f>SUM(B1280:B1281)</f>
        <v>42.65</v>
      </c>
      <c r="C1282" s="46"/>
      <c r="D1282" s="46"/>
      <c r="E1282" s="43"/>
      <c r="F1282" s="86"/>
    </row>
    <row r="1283" spans="1:6" s="1" customFormat="1" ht="15" x14ac:dyDescent="0.2">
      <c r="A1283" s="19"/>
      <c r="B1283" s="50"/>
      <c r="C1283" s="50"/>
      <c r="D1283" s="50"/>
      <c r="E1283" s="50"/>
      <c r="F1283" s="20"/>
    </row>
    <row r="1284" spans="1:6" ht="24" customHeight="1" x14ac:dyDescent="0.2">
      <c r="A1284" s="59" t="s">
        <v>418</v>
      </c>
      <c r="B1284" s="348" t="s">
        <v>142</v>
      </c>
      <c r="C1284" s="348"/>
      <c r="D1284" s="348"/>
      <c r="E1284" s="25" t="s">
        <v>122</v>
      </c>
      <c r="F1284" s="60">
        <f>B1288</f>
        <v>34.5</v>
      </c>
    </row>
    <row r="1285" spans="1:6" s="1" customFormat="1" ht="15" x14ac:dyDescent="0.2">
      <c r="A1285" s="19"/>
      <c r="B1285" s="50"/>
      <c r="C1285" s="50"/>
      <c r="D1285" s="50"/>
      <c r="E1285" s="50"/>
      <c r="F1285" s="20"/>
    </row>
    <row r="1286" spans="1:6" s="1" customFormat="1" ht="15" x14ac:dyDescent="0.2">
      <c r="A1286" s="21" t="s">
        <v>186</v>
      </c>
      <c r="B1286" s="2" t="s">
        <v>187</v>
      </c>
      <c r="C1286" s="47"/>
      <c r="D1286" s="47"/>
      <c r="E1286" s="47"/>
      <c r="F1286" s="35"/>
    </row>
    <row r="1287" spans="1:6" s="1" customFormat="1" ht="15" x14ac:dyDescent="0.2">
      <c r="A1287" s="22" t="s">
        <v>430</v>
      </c>
      <c r="B1287" s="3">
        <f>17.25*2</f>
        <v>34.5</v>
      </c>
      <c r="C1287" s="70"/>
      <c r="D1287" s="70"/>
      <c r="E1287" s="45"/>
      <c r="F1287" s="34"/>
    </row>
    <row r="1288" spans="1:6" s="1" customFormat="1" ht="15" x14ac:dyDescent="0.2">
      <c r="A1288" s="21" t="s">
        <v>433</v>
      </c>
      <c r="B1288" s="2">
        <f>SUM(B1287:B1287)</f>
        <v>34.5</v>
      </c>
      <c r="C1288" s="46"/>
      <c r="D1288" s="46"/>
      <c r="E1288" s="43"/>
      <c r="F1288" s="86"/>
    </row>
    <row r="1289" spans="1:6" s="1" customFormat="1" ht="15" x14ac:dyDescent="0.2">
      <c r="A1289" s="19"/>
      <c r="B1289" s="50"/>
      <c r="C1289" s="50"/>
      <c r="D1289" s="50"/>
      <c r="E1289" s="50"/>
      <c r="F1289" s="20"/>
    </row>
    <row r="1290" spans="1:6" ht="24" customHeight="1" x14ac:dyDescent="0.2">
      <c r="A1290" s="59" t="s">
        <v>419</v>
      </c>
      <c r="B1290" s="348" t="s">
        <v>143</v>
      </c>
      <c r="C1290" s="348"/>
      <c r="D1290" s="348"/>
      <c r="E1290" s="25" t="s">
        <v>10</v>
      </c>
      <c r="F1290" s="60">
        <f>D1295</f>
        <v>101.35999999999999</v>
      </c>
    </row>
    <row r="1291" spans="1:6" s="1" customFormat="1" ht="15" x14ac:dyDescent="0.2">
      <c r="A1291" s="19"/>
      <c r="B1291" s="50"/>
      <c r="C1291" s="50"/>
      <c r="D1291" s="50"/>
      <c r="E1291" s="50"/>
      <c r="F1291" s="20"/>
    </row>
    <row r="1292" spans="1:6" s="1" customFormat="1" ht="15" x14ac:dyDescent="0.2">
      <c r="A1292" s="21" t="s">
        <v>186</v>
      </c>
      <c r="B1292" s="2" t="s">
        <v>187</v>
      </c>
      <c r="C1292" s="2" t="s">
        <v>434</v>
      </c>
      <c r="D1292" s="2" t="s">
        <v>192</v>
      </c>
      <c r="E1292" s="47"/>
      <c r="F1292" s="35"/>
    </row>
    <row r="1293" spans="1:6" s="1" customFormat="1" ht="15" x14ac:dyDescent="0.2">
      <c r="A1293" s="22" t="s">
        <v>430</v>
      </c>
      <c r="B1293" s="3">
        <v>17.25</v>
      </c>
      <c r="C1293" s="3">
        <v>13.19</v>
      </c>
      <c r="D1293" s="3">
        <f>(B1293+C1293)*2</f>
        <v>60.879999999999995</v>
      </c>
      <c r="E1293" s="45"/>
      <c r="F1293" s="34"/>
    </row>
    <row r="1294" spans="1:6" s="1" customFormat="1" ht="15" x14ac:dyDescent="0.2">
      <c r="A1294" s="22" t="s">
        <v>432</v>
      </c>
      <c r="B1294" s="3"/>
      <c r="C1294" s="3"/>
      <c r="D1294" s="3">
        <v>40.479999999999997</v>
      </c>
      <c r="E1294" s="45"/>
      <c r="F1294" s="34"/>
    </row>
    <row r="1295" spans="1:6" s="1" customFormat="1" ht="15" x14ac:dyDescent="0.2">
      <c r="A1295" s="372" t="s">
        <v>433</v>
      </c>
      <c r="B1295" s="373"/>
      <c r="C1295" s="373"/>
      <c r="D1295" s="2">
        <f>SUM(D1293:D1294)</f>
        <v>101.35999999999999</v>
      </c>
      <c r="E1295" s="43"/>
      <c r="F1295" s="86"/>
    </row>
    <row r="1296" spans="1:6" s="1" customFormat="1" ht="15" x14ac:dyDescent="0.2">
      <c r="A1296" s="19"/>
      <c r="B1296" s="50"/>
      <c r="C1296" s="50"/>
      <c r="D1296" s="50"/>
      <c r="E1296" s="50"/>
      <c r="F1296" s="20"/>
    </row>
    <row r="1297" spans="1:6" ht="26.1" customHeight="1" x14ac:dyDescent="0.2">
      <c r="A1297" s="59" t="s">
        <v>420</v>
      </c>
      <c r="B1297" s="348" t="s">
        <v>144</v>
      </c>
      <c r="C1297" s="348"/>
      <c r="D1297" s="348"/>
      <c r="E1297" s="25" t="s">
        <v>13</v>
      </c>
      <c r="F1297" s="60">
        <f>D1302</f>
        <v>121.63199999999999</v>
      </c>
    </row>
    <row r="1298" spans="1:6" s="1" customFormat="1" ht="15" x14ac:dyDescent="0.2">
      <c r="A1298" s="19"/>
      <c r="B1298" s="50"/>
      <c r="C1298" s="50"/>
      <c r="D1298" s="50"/>
      <c r="E1298" s="50"/>
      <c r="F1298" s="20"/>
    </row>
    <row r="1299" spans="1:6" s="1" customFormat="1" ht="15" x14ac:dyDescent="0.2">
      <c r="A1299" s="21" t="s">
        <v>186</v>
      </c>
      <c r="B1299" s="2" t="s">
        <v>192</v>
      </c>
      <c r="C1299" s="2" t="s">
        <v>189</v>
      </c>
      <c r="D1299" s="2" t="s">
        <v>194</v>
      </c>
      <c r="E1299" s="47"/>
      <c r="F1299" s="35"/>
    </row>
    <row r="1300" spans="1:6" s="1" customFormat="1" ht="15" x14ac:dyDescent="0.2">
      <c r="A1300" s="22" t="s">
        <v>430</v>
      </c>
      <c r="B1300" s="3">
        <f>D1293</f>
        <v>60.879999999999995</v>
      </c>
      <c r="C1300" s="3">
        <v>1.2</v>
      </c>
      <c r="D1300" s="3">
        <f>B1300*C1300</f>
        <v>73.055999999999997</v>
      </c>
      <c r="E1300" s="45"/>
      <c r="F1300" s="34"/>
    </row>
    <row r="1301" spans="1:6" s="1" customFormat="1" ht="15" x14ac:dyDescent="0.2">
      <c r="A1301" s="22" t="s">
        <v>432</v>
      </c>
      <c r="B1301" s="3">
        <v>40.479999999999997</v>
      </c>
      <c r="C1301" s="3">
        <v>1.2</v>
      </c>
      <c r="D1301" s="3">
        <f>B1301*C1301</f>
        <v>48.575999999999993</v>
      </c>
      <c r="E1301" s="45"/>
      <c r="F1301" s="34"/>
    </row>
    <row r="1302" spans="1:6" s="1" customFormat="1" ht="15" x14ac:dyDescent="0.2">
      <c r="A1302" s="372" t="s">
        <v>227</v>
      </c>
      <c r="B1302" s="373"/>
      <c r="C1302" s="373"/>
      <c r="D1302" s="2">
        <f>SUM(D1300:D1301)</f>
        <v>121.63199999999999</v>
      </c>
      <c r="E1302" s="43"/>
      <c r="F1302" s="86"/>
    </row>
    <row r="1303" spans="1:6" s="1" customFormat="1" ht="15" x14ac:dyDescent="0.2">
      <c r="A1303" s="19"/>
      <c r="B1303" s="50"/>
      <c r="C1303" s="50"/>
      <c r="D1303" s="50"/>
      <c r="E1303" s="50"/>
      <c r="F1303" s="20"/>
    </row>
    <row r="1304" spans="1:6" ht="24" customHeight="1" x14ac:dyDescent="0.2">
      <c r="A1304" s="57" t="s">
        <v>262</v>
      </c>
      <c r="B1304" s="388" t="s">
        <v>146</v>
      </c>
      <c r="C1304" s="388"/>
      <c r="D1304" s="388"/>
      <c r="E1304" s="6"/>
      <c r="F1304" s="58">
        <v>1</v>
      </c>
    </row>
    <row r="1305" spans="1:6" ht="24" customHeight="1" x14ac:dyDescent="0.2">
      <c r="A1305" s="57" t="s">
        <v>263</v>
      </c>
      <c r="B1305" s="388" t="s">
        <v>148</v>
      </c>
      <c r="C1305" s="388"/>
      <c r="D1305" s="388"/>
      <c r="E1305" s="6"/>
      <c r="F1305" s="58">
        <v>1</v>
      </c>
    </row>
    <row r="1306" spans="1:6" ht="26.1" customHeight="1" x14ac:dyDescent="0.2">
      <c r="A1306" s="59" t="s">
        <v>264</v>
      </c>
      <c r="B1306" s="387" t="s">
        <v>149</v>
      </c>
      <c r="C1306" s="387"/>
      <c r="D1306" s="387"/>
      <c r="E1306" s="7" t="s">
        <v>13</v>
      </c>
      <c r="F1306" s="60">
        <f>F1309</f>
        <v>306.95749999999998</v>
      </c>
    </row>
    <row r="1307" spans="1:6" s="1" customFormat="1" ht="15" x14ac:dyDescent="0.2">
      <c r="A1307" s="19"/>
      <c r="B1307" s="50"/>
      <c r="C1307" s="50"/>
      <c r="D1307" s="50"/>
      <c r="E1307" s="50"/>
      <c r="F1307" s="61"/>
    </row>
    <row r="1308" spans="1:6" s="1" customFormat="1" ht="15" x14ac:dyDescent="0.2">
      <c r="A1308" s="63" t="s">
        <v>201</v>
      </c>
      <c r="B1308" s="2" t="s">
        <v>186</v>
      </c>
      <c r="C1308" s="2" t="s">
        <v>187</v>
      </c>
      <c r="D1308" s="2" t="s">
        <v>188</v>
      </c>
      <c r="E1308" s="2" t="s">
        <v>194</v>
      </c>
      <c r="F1308" s="28" t="s">
        <v>195</v>
      </c>
    </row>
    <row r="1309" spans="1:6" s="1" customFormat="1" ht="15" customHeight="1" x14ac:dyDescent="0.2">
      <c r="A1309" s="430" t="s">
        <v>354</v>
      </c>
      <c r="B1309" s="3" t="s">
        <v>355</v>
      </c>
      <c r="C1309" s="3">
        <v>7.77</v>
      </c>
      <c r="D1309" s="3">
        <v>5.3</v>
      </c>
      <c r="E1309" s="5">
        <f>C1309*D1309</f>
        <v>41.180999999999997</v>
      </c>
      <c r="F1309" s="411">
        <f>SUM(E1309:E1312)</f>
        <v>306.95749999999998</v>
      </c>
    </row>
    <row r="1310" spans="1:6" s="1" customFormat="1" ht="15" x14ac:dyDescent="0.2">
      <c r="A1310" s="431"/>
      <c r="B1310" s="3" t="s">
        <v>356</v>
      </c>
      <c r="C1310" s="3">
        <v>0.91</v>
      </c>
      <c r="D1310" s="3">
        <v>1.9</v>
      </c>
      <c r="E1310" s="5">
        <f t="shared" ref="E1310:E1312" si="36">C1310*D1310</f>
        <v>1.7289999999999999</v>
      </c>
      <c r="F1310" s="412"/>
    </row>
    <row r="1311" spans="1:6" s="1" customFormat="1" ht="15" x14ac:dyDescent="0.2">
      <c r="A1311" s="431"/>
      <c r="B1311" s="3" t="s">
        <v>357</v>
      </c>
      <c r="C1311" s="3">
        <v>11.61</v>
      </c>
      <c r="D1311" s="3">
        <v>12.55</v>
      </c>
      <c r="E1311" s="5">
        <f t="shared" si="36"/>
        <v>145.7055</v>
      </c>
      <c r="F1311" s="412"/>
    </row>
    <row r="1312" spans="1:6" s="1" customFormat="1" ht="15" x14ac:dyDescent="0.2">
      <c r="A1312" s="432"/>
      <c r="B1312" s="3" t="s">
        <v>358</v>
      </c>
      <c r="C1312" s="3">
        <v>11.06</v>
      </c>
      <c r="D1312" s="3">
        <v>10.7</v>
      </c>
      <c r="E1312" s="5">
        <f t="shared" si="36"/>
        <v>118.342</v>
      </c>
      <c r="F1312" s="413"/>
    </row>
    <row r="1313" spans="1:6" s="1" customFormat="1" ht="15" x14ac:dyDescent="0.2">
      <c r="A1313" s="19"/>
      <c r="B1313" s="50"/>
      <c r="C1313" s="50"/>
      <c r="D1313" s="50"/>
      <c r="E1313" s="50"/>
      <c r="F1313" s="61"/>
    </row>
    <row r="1314" spans="1:6" ht="26.1" customHeight="1" x14ac:dyDescent="0.2">
      <c r="A1314" s="59" t="s">
        <v>265</v>
      </c>
      <c r="B1314" s="387" t="s">
        <v>150</v>
      </c>
      <c r="C1314" s="387"/>
      <c r="D1314" s="387"/>
      <c r="E1314" s="7" t="s">
        <v>13</v>
      </c>
      <c r="F1314" s="60">
        <f>B1319</f>
        <v>118.94149999999999</v>
      </c>
    </row>
    <row r="1315" spans="1:6" s="1" customFormat="1" ht="15" x14ac:dyDescent="0.2">
      <c r="A1315" s="19"/>
      <c r="B1315" s="50"/>
      <c r="C1315" s="50"/>
      <c r="D1315" s="50"/>
      <c r="E1315" s="50"/>
      <c r="F1315" s="20"/>
    </row>
    <row r="1316" spans="1:6" s="1" customFormat="1" ht="15" x14ac:dyDescent="0.2">
      <c r="A1316" s="21" t="s">
        <v>186</v>
      </c>
      <c r="B1316" s="2" t="s">
        <v>194</v>
      </c>
      <c r="C1316" s="47"/>
      <c r="D1316" s="47"/>
      <c r="E1316" s="47"/>
      <c r="F1316" s="35"/>
    </row>
    <row r="1317" spans="1:6" s="1" customFormat="1" ht="24.75" customHeight="1" x14ac:dyDescent="0.2">
      <c r="A1317" s="22" t="s">
        <v>435</v>
      </c>
      <c r="B1317" s="3">
        <f>50.25</f>
        <v>50.25</v>
      </c>
      <c r="C1317" s="70"/>
      <c r="D1317" s="374"/>
      <c r="E1317" s="374"/>
      <c r="F1317" s="375"/>
    </row>
    <row r="1318" spans="1:6" s="1" customFormat="1" ht="24.75" customHeight="1" x14ac:dyDescent="0.2">
      <c r="A1318" s="22" t="s">
        <v>437</v>
      </c>
      <c r="B1318" s="3">
        <f>F1135</f>
        <v>68.691499999999991</v>
      </c>
      <c r="C1318" s="70"/>
      <c r="D1318" s="374"/>
      <c r="E1318" s="374"/>
      <c r="F1318" s="375"/>
    </row>
    <row r="1319" spans="1:6" s="1" customFormat="1" ht="15" x14ac:dyDescent="0.2">
      <c r="A1319" s="21" t="s">
        <v>401</v>
      </c>
      <c r="B1319" s="2">
        <f>SUM(B1317:B1318)</f>
        <v>118.94149999999999</v>
      </c>
      <c r="C1319" s="46"/>
      <c r="D1319" s="46"/>
      <c r="E1319" s="43"/>
      <c r="F1319" s="86"/>
    </row>
    <row r="1320" spans="1:6" s="1" customFormat="1" ht="15" x14ac:dyDescent="0.2">
      <c r="A1320" s="19"/>
      <c r="B1320" s="50"/>
      <c r="C1320" s="50"/>
      <c r="D1320" s="50"/>
      <c r="E1320" s="50"/>
      <c r="F1320" s="20"/>
    </row>
    <row r="1321" spans="1:6" ht="24" customHeight="1" x14ac:dyDescent="0.2">
      <c r="A1321" s="57" t="s">
        <v>266</v>
      </c>
      <c r="B1321" s="388" t="s">
        <v>152</v>
      </c>
      <c r="C1321" s="388"/>
      <c r="D1321" s="388"/>
      <c r="E1321" s="6"/>
      <c r="F1321" s="58">
        <v>1</v>
      </c>
    </row>
    <row r="1322" spans="1:6" ht="51.95" customHeight="1" x14ac:dyDescent="0.2">
      <c r="A1322" s="59" t="s">
        <v>267</v>
      </c>
      <c r="B1322" s="387" t="s">
        <v>47</v>
      </c>
      <c r="C1322" s="387"/>
      <c r="D1322" s="387"/>
      <c r="E1322" s="7" t="s">
        <v>13</v>
      </c>
      <c r="F1322" s="60">
        <f>D1327</f>
        <v>32.215000000000003</v>
      </c>
    </row>
    <row r="1323" spans="1:6" s="1" customFormat="1" ht="15" x14ac:dyDescent="0.2">
      <c r="A1323" s="19"/>
      <c r="B1323" s="50"/>
      <c r="C1323" s="50"/>
      <c r="D1323" s="50"/>
      <c r="E1323" s="50"/>
      <c r="F1323" s="20"/>
    </row>
    <row r="1324" spans="1:6" s="1" customFormat="1" ht="15" x14ac:dyDescent="0.2">
      <c r="A1324" s="21" t="s">
        <v>186</v>
      </c>
      <c r="B1324" s="2" t="s">
        <v>192</v>
      </c>
      <c r="C1324" s="2" t="s">
        <v>189</v>
      </c>
      <c r="D1324" s="2" t="s">
        <v>194</v>
      </c>
      <c r="E1324" s="47"/>
      <c r="F1324" s="35"/>
    </row>
    <row r="1325" spans="1:6" s="1" customFormat="1" ht="15" x14ac:dyDescent="0.2">
      <c r="A1325" s="22" t="s">
        <v>405</v>
      </c>
      <c r="B1325" s="3">
        <f>4.3</f>
        <v>4.3</v>
      </c>
      <c r="C1325" s="3">
        <v>2</v>
      </c>
      <c r="D1325" s="3">
        <f>B1325*C1325*2</f>
        <v>17.2</v>
      </c>
      <c r="E1325" s="419" t="s">
        <v>438</v>
      </c>
      <c r="F1325" s="400"/>
    </row>
    <row r="1326" spans="1:6" s="1" customFormat="1" ht="15" x14ac:dyDescent="0.2">
      <c r="A1326" s="22" t="s">
        <v>405</v>
      </c>
      <c r="B1326" s="3">
        <v>3.85</v>
      </c>
      <c r="C1326" s="3">
        <v>1.95</v>
      </c>
      <c r="D1326" s="3">
        <f>B1326*C1326*2</f>
        <v>15.015000000000001</v>
      </c>
      <c r="E1326" s="419" t="s">
        <v>438</v>
      </c>
      <c r="F1326" s="400"/>
    </row>
    <row r="1327" spans="1:6" s="1" customFormat="1" ht="15" x14ac:dyDescent="0.2">
      <c r="A1327" s="372" t="s">
        <v>227</v>
      </c>
      <c r="B1327" s="373"/>
      <c r="C1327" s="373"/>
      <c r="D1327" s="2">
        <f>SUM(D1325:D1326)</f>
        <v>32.215000000000003</v>
      </c>
      <c r="E1327" s="43"/>
      <c r="F1327" s="86"/>
    </row>
    <row r="1328" spans="1:6" s="1" customFormat="1" ht="15" x14ac:dyDescent="0.2">
      <c r="A1328" s="19"/>
      <c r="B1328" s="50"/>
      <c r="C1328" s="50"/>
      <c r="D1328" s="50"/>
      <c r="E1328" s="50"/>
      <c r="F1328" s="20"/>
    </row>
    <row r="1329" spans="1:6" ht="51.95" customHeight="1" x14ac:dyDescent="0.2">
      <c r="A1329" s="59" t="s">
        <v>268</v>
      </c>
      <c r="B1329" s="387" t="s">
        <v>49</v>
      </c>
      <c r="C1329" s="387"/>
      <c r="D1329" s="387"/>
      <c r="E1329" s="7" t="s">
        <v>13</v>
      </c>
      <c r="F1329" s="60">
        <f>D1334</f>
        <v>32.215000000000003</v>
      </c>
    </row>
    <row r="1330" spans="1:6" s="1" customFormat="1" ht="15" x14ac:dyDescent="0.2">
      <c r="A1330" s="19"/>
      <c r="B1330" s="50"/>
      <c r="C1330" s="50"/>
      <c r="D1330" s="50"/>
      <c r="E1330" s="50"/>
      <c r="F1330" s="20"/>
    </row>
    <row r="1331" spans="1:6" s="1" customFormat="1" ht="15" x14ac:dyDescent="0.2">
      <c r="A1331" s="21" t="s">
        <v>186</v>
      </c>
      <c r="B1331" s="2" t="s">
        <v>192</v>
      </c>
      <c r="C1331" s="2" t="s">
        <v>189</v>
      </c>
      <c r="D1331" s="2" t="s">
        <v>194</v>
      </c>
      <c r="E1331" s="47"/>
      <c r="F1331" s="35"/>
    </row>
    <row r="1332" spans="1:6" s="1" customFormat="1" ht="15" x14ac:dyDescent="0.2">
      <c r="A1332" s="22" t="s">
        <v>405</v>
      </c>
      <c r="B1332" s="3">
        <v>4.3</v>
      </c>
      <c r="C1332" s="3">
        <v>2</v>
      </c>
      <c r="D1332" s="3">
        <f>B1332*C1332*2</f>
        <v>17.2</v>
      </c>
      <c r="E1332" s="419" t="s">
        <v>438</v>
      </c>
      <c r="F1332" s="400"/>
    </row>
    <row r="1333" spans="1:6" s="1" customFormat="1" ht="15" x14ac:dyDescent="0.2">
      <c r="A1333" s="22" t="s">
        <v>405</v>
      </c>
      <c r="B1333" s="3">
        <v>3.85</v>
      </c>
      <c r="C1333" s="3">
        <v>1.95</v>
      </c>
      <c r="D1333" s="3">
        <f>B1333*C1333*2</f>
        <v>15.015000000000001</v>
      </c>
      <c r="E1333" s="419" t="s">
        <v>438</v>
      </c>
      <c r="F1333" s="400"/>
    </row>
    <row r="1334" spans="1:6" s="1" customFormat="1" ht="15" x14ac:dyDescent="0.2">
      <c r="A1334" s="372" t="s">
        <v>227</v>
      </c>
      <c r="B1334" s="373"/>
      <c r="C1334" s="373"/>
      <c r="D1334" s="2">
        <f>SUM(D1332:D1333)</f>
        <v>32.215000000000003</v>
      </c>
      <c r="E1334" s="43"/>
      <c r="F1334" s="86"/>
    </row>
    <row r="1335" spans="1:6" s="1" customFormat="1" ht="15" x14ac:dyDescent="0.2">
      <c r="A1335" s="19"/>
      <c r="B1335" s="50"/>
      <c r="C1335" s="50"/>
      <c r="D1335" s="50"/>
      <c r="E1335" s="50"/>
      <c r="F1335" s="20"/>
    </row>
    <row r="1336" spans="1:6" ht="24" customHeight="1" x14ac:dyDescent="0.2">
      <c r="A1336" s="57" t="s">
        <v>269</v>
      </c>
      <c r="B1336" s="388" t="s">
        <v>71</v>
      </c>
      <c r="C1336" s="388"/>
      <c r="D1336" s="388"/>
      <c r="E1336" s="6"/>
      <c r="F1336" s="58">
        <v>1</v>
      </c>
    </row>
    <row r="1337" spans="1:6" ht="24" customHeight="1" x14ac:dyDescent="0.2">
      <c r="A1337" s="57" t="s">
        <v>270</v>
      </c>
      <c r="B1337" s="388" t="s">
        <v>154</v>
      </c>
      <c r="C1337" s="388"/>
      <c r="D1337" s="388"/>
      <c r="E1337" s="6"/>
      <c r="F1337" s="58">
        <v>1</v>
      </c>
    </row>
    <row r="1338" spans="1:6" ht="26.1" customHeight="1" x14ac:dyDescent="0.2">
      <c r="A1338" s="59" t="s">
        <v>271</v>
      </c>
      <c r="B1338" s="387" t="s">
        <v>73</v>
      </c>
      <c r="C1338" s="387"/>
      <c r="D1338" s="387"/>
      <c r="E1338" s="7" t="s">
        <v>13</v>
      </c>
      <c r="F1338" s="60">
        <f>D1345</f>
        <v>153.84699999999998</v>
      </c>
    </row>
    <row r="1339" spans="1:6" s="1" customFormat="1" ht="15" x14ac:dyDescent="0.2">
      <c r="A1339" s="19"/>
      <c r="B1339" s="50"/>
      <c r="C1339" s="50"/>
      <c r="D1339" s="50"/>
      <c r="E1339" s="50"/>
      <c r="F1339" s="20"/>
    </row>
    <row r="1340" spans="1:6" s="1" customFormat="1" ht="15" x14ac:dyDescent="0.2">
      <c r="A1340" s="21" t="s">
        <v>186</v>
      </c>
      <c r="B1340" s="2" t="s">
        <v>192</v>
      </c>
      <c r="C1340" s="2" t="s">
        <v>189</v>
      </c>
      <c r="D1340" s="2" t="s">
        <v>194</v>
      </c>
      <c r="E1340" s="47"/>
      <c r="F1340" s="35"/>
    </row>
    <row r="1341" spans="1:6" s="1" customFormat="1" ht="15" x14ac:dyDescent="0.2">
      <c r="A1341" s="22" t="s">
        <v>430</v>
      </c>
      <c r="B1341" s="3">
        <v>60.879999999999995</v>
      </c>
      <c r="C1341" s="3">
        <v>1.2</v>
      </c>
      <c r="D1341" s="3">
        <f>B1341*C1341</f>
        <v>73.055999999999997</v>
      </c>
      <c r="E1341" s="45"/>
      <c r="F1341" s="34"/>
    </row>
    <row r="1342" spans="1:6" s="1" customFormat="1" ht="15" x14ac:dyDescent="0.2">
      <c r="A1342" s="22" t="s">
        <v>432</v>
      </c>
      <c r="B1342" s="3">
        <v>40.479999999999997</v>
      </c>
      <c r="C1342" s="3">
        <v>1.2</v>
      </c>
      <c r="D1342" s="3">
        <f t="shared" ref="D1342" si="37">B1342*C1342</f>
        <v>48.575999999999993</v>
      </c>
      <c r="E1342" s="45"/>
      <c r="F1342" s="34"/>
    </row>
    <row r="1343" spans="1:6" s="1" customFormat="1" ht="15" x14ac:dyDescent="0.2">
      <c r="A1343" s="22" t="s">
        <v>405</v>
      </c>
      <c r="B1343" s="3">
        <v>4.3</v>
      </c>
      <c r="C1343" s="3">
        <v>2</v>
      </c>
      <c r="D1343" s="3">
        <f>B1343*C1343*2</f>
        <v>17.2</v>
      </c>
      <c r="E1343" s="419" t="s">
        <v>438</v>
      </c>
      <c r="F1343" s="400"/>
    </row>
    <row r="1344" spans="1:6" s="1" customFormat="1" ht="15" x14ac:dyDescent="0.2">
      <c r="A1344" s="22" t="s">
        <v>405</v>
      </c>
      <c r="B1344" s="3">
        <v>3.85</v>
      </c>
      <c r="C1344" s="3">
        <v>1.95</v>
      </c>
      <c r="D1344" s="3">
        <f>B1344*C1344*2</f>
        <v>15.015000000000001</v>
      </c>
      <c r="E1344" s="419" t="s">
        <v>438</v>
      </c>
      <c r="F1344" s="400"/>
    </row>
    <row r="1345" spans="1:6" s="1" customFormat="1" ht="15" x14ac:dyDescent="0.2">
      <c r="A1345" s="372" t="s">
        <v>227</v>
      </c>
      <c r="B1345" s="373"/>
      <c r="C1345" s="373"/>
      <c r="D1345" s="2">
        <f>SUM(D1341:D1344)</f>
        <v>153.84699999999998</v>
      </c>
      <c r="E1345" s="43"/>
      <c r="F1345" s="86"/>
    </row>
    <row r="1346" spans="1:6" s="1" customFormat="1" ht="15" x14ac:dyDescent="0.2">
      <c r="A1346" s="19"/>
      <c r="B1346" s="50"/>
      <c r="C1346" s="50"/>
      <c r="D1346" s="50"/>
      <c r="E1346" s="50"/>
      <c r="F1346" s="20"/>
    </row>
    <row r="1347" spans="1:6" ht="26.1" customHeight="1" x14ac:dyDescent="0.2">
      <c r="A1347" s="59" t="s">
        <v>272</v>
      </c>
      <c r="B1347" s="387" t="s">
        <v>155</v>
      </c>
      <c r="C1347" s="387"/>
      <c r="D1347" s="387"/>
      <c r="E1347" s="7" t="s">
        <v>13</v>
      </c>
      <c r="F1347" s="60">
        <f>D1354</f>
        <v>153.84699999999998</v>
      </c>
    </row>
    <row r="1348" spans="1:6" s="1" customFormat="1" ht="15" x14ac:dyDescent="0.2">
      <c r="A1348" s="19"/>
      <c r="B1348" s="50"/>
      <c r="C1348" s="50"/>
      <c r="D1348" s="50"/>
      <c r="E1348" s="50"/>
      <c r="F1348" s="20"/>
    </row>
    <row r="1349" spans="1:6" s="1" customFormat="1" ht="15" x14ac:dyDescent="0.2">
      <c r="A1349" s="21" t="s">
        <v>186</v>
      </c>
      <c r="B1349" s="2" t="s">
        <v>192</v>
      </c>
      <c r="C1349" s="2" t="s">
        <v>189</v>
      </c>
      <c r="D1349" s="2" t="s">
        <v>194</v>
      </c>
      <c r="E1349" s="47"/>
      <c r="F1349" s="35"/>
    </row>
    <row r="1350" spans="1:6" s="1" customFormat="1" ht="15" x14ac:dyDescent="0.2">
      <c r="A1350" s="22" t="s">
        <v>430</v>
      </c>
      <c r="B1350" s="3">
        <v>60.879999999999995</v>
      </c>
      <c r="C1350" s="3">
        <v>1.2</v>
      </c>
      <c r="D1350" s="3">
        <f>B1350*C1350</f>
        <v>73.055999999999997</v>
      </c>
      <c r="E1350" s="45"/>
      <c r="F1350" s="34"/>
    </row>
    <row r="1351" spans="1:6" s="1" customFormat="1" ht="15" x14ac:dyDescent="0.2">
      <c r="A1351" s="22" t="s">
        <v>432</v>
      </c>
      <c r="B1351" s="3">
        <v>40.479999999999997</v>
      </c>
      <c r="C1351" s="3">
        <v>1.2</v>
      </c>
      <c r="D1351" s="3">
        <f t="shared" ref="D1351" si="38">B1351*C1351</f>
        <v>48.575999999999993</v>
      </c>
      <c r="E1351" s="45"/>
      <c r="F1351" s="34"/>
    </row>
    <row r="1352" spans="1:6" s="1" customFormat="1" ht="15" x14ac:dyDescent="0.2">
      <c r="A1352" s="22" t="s">
        <v>405</v>
      </c>
      <c r="B1352" s="3">
        <v>4.3</v>
      </c>
      <c r="C1352" s="3">
        <v>2</v>
      </c>
      <c r="D1352" s="3">
        <f>B1352*C1352*2</f>
        <v>17.2</v>
      </c>
      <c r="E1352" s="419" t="s">
        <v>438</v>
      </c>
      <c r="F1352" s="400"/>
    </row>
    <row r="1353" spans="1:6" s="1" customFormat="1" ht="15" x14ac:dyDescent="0.2">
      <c r="A1353" s="22" t="s">
        <v>405</v>
      </c>
      <c r="B1353" s="3">
        <v>3.85</v>
      </c>
      <c r="C1353" s="3">
        <v>1.95</v>
      </c>
      <c r="D1353" s="3">
        <f>B1353*C1353*2</f>
        <v>15.015000000000001</v>
      </c>
      <c r="E1353" s="419" t="s">
        <v>438</v>
      </c>
      <c r="F1353" s="400"/>
    </row>
    <row r="1354" spans="1:6" s="1" customFormat="1" ht="15" x14ac:dyDescent="0.2">
      <c r="A1354" s="372" t="s">
        <v>227</v>
      </c>
      <c r="B1354" s="373"/>
      <c r="C1354" s="373"/>
      <c r="D1354" s="2">
        <f>SUM(D1350:D1353)</f>
        <v>153.84699999999998</v>
      </c>
      <c r="E1354" s="43"/>
      <c r="F1354" s="86"/>
    </row>
    <row r="1355" spans="1:6" s="1" customFormat="1" ht="15" x14ac:dyDescent="0.2">
      <c r="A1355" s="19"/>
      <c r="B1355" s="50"/>
      <c r="C1355" s="50"/>
      <c r="D1355" s="50"/>
      <c r="E1355" s="50"/>
      <c r="F1355" s="20"/>
    </row>
    <row r="1356" spans="1:6" ht="26.1" customHeight="1" x14ac:dyDescent="0.2">
      <c r="A1356" s="59" t="s">
        <v>273</v>
      </c>
      <c r="B1356" s="387" t="s">
        <v>156</v>
      </c>
      <c r="C1356" s="387"/>
      <c r="D1356" s="387"/>
      <c r="E1356" s="7" t="s">
        <v>13</v>
      </c>
      <c r="F1356" s="60">
        <f>D1363</f>
        <v>153.84699999999998</v>
      </c>
    </row>
    <row r="1357" spans="1:6" s="1" customFormat="1" ht="15" x14ac:dyDescent="0.2">
      <c r="A1357" s="19"/>
      <c r="B1357" s="50"/>
      <c r="C1357" s="50"/>
      <c r="D1357" s="50"/>
      <c r="E1357" s="50"/>
      <c r="F1357" s="20"/>
    </row>
    <row r="1358" spans="1:6" s="1" customFormat="1" ht="15" x14ac:dyDescent="0.2">
      <c r="A1358" s="21" t="s">
        <v>186</v>
      </c>
      <c r="B1358" s="2" t="s">
        <v>192</v>
      </c>
      <c r="C1358" s="2" t="s">
        <v>189</v>
      </c>
      <c r="D1358" s="2" t="s">
        <v>194</v>
      </c>
      <c r="E1358" s="47"/>
      <c r="F1358" s="35"/>
    </row>
    <row r="1359" spans="1:6" s="1" customFormat="1" ht="15" x14ac:dyDescent="0.2">
      <c r="A1359" s="22" t="s">
        <v>430</v>
      </c>
      <c r="B1359" s="3">
        <v>60.879999999999995</v>
      </c>
      <c r="C1359" s="3">
        <v>1.2</v>
      </c>
      <c r="D1359" s="3">
        <f>B1359*C1359</f>
        <v>73.055999999999997</v>
      </c>
      <c r="E1359" s="45"/>
      <c r="F1359" s="34"/>
    </row>
    <row r="1360" spans="1:6" s="1" customFormat="1" ht="15" x14ac:dyDescent="0.2">
      <c r="A1360" s="22" t="s">
        <v>432</v>
      </c>
      <c r="B1360" s="3">
        <v>40.479999999999997</v>
      </c>
      <c r="C1360" s="3">
        <v>1.2</v>
      </c>
      <c r="D1360" s="3">
        <f t="shared" ref="D1360" si="39">B1360*C1360</f>
        <v>48.575999999999993</v>
      </c>
      <c r="E1360" s="45"/>
      <c r="F1360" s="34"/>
    </row>
    <row r="1361" spans="1:6" s="1" customFormat="1" ht="15" x14ac:dyDescent="0.2">
      <c r="A1361" s="22" t="s">
        <v>405</v>
      </c>
      <c r="B1361" s="3">
        <v>4.3</v>
      </c>
      <c r="C1361" s="3">
        <v>2</v>
      </c>
      <c r="D1361" s="3">
        <f>B1361*C1361*2</f>
        <v>17.2</v>
      </c>
      <c r="E1361" s="419" t="s">
        <v>438</v>
      </c>
      <c r="F1361" s="400"/>
    </row>
    <row r="1362" spans="1:6" s="1" customFormat="1" ht="15" x14ac:dyDescent="0.2">
      <c r="A1362" s="22" t="s">
        <v>405</v>
      </c>
      <c r="B1362" s="3">
        <v>3.85</v>
      </c>
      <c r="C1362" s="3">
        <v>1.95</v>
      </c>
      <c r="D1362" s="3">
        <f>B1362*C1362*2</f>
        <v>15.015000000000001</v>
      </c>
      <c r="E1362" s="419" t="s">
        <v>438</v>
      </c>
      <c r="F1362" s="400"/>
    </row>
    <row r="1363" spans="1:6" s="1" customFormat="1" ht="15" x14ac:dyDescent="0.2">
      <c r="A1363" s="372" t="s">
        <v>227</v>
      </c>
      <c r="B1363" s="373"/>
      <c r="C1363" s="373"/>
      <c r="D1363" s="2">
        <f>SUM(D1359:D1362)</f>
        <v>153.84699999999998</v>
      </c>
      <c r="E1363" s="43"/>
      <c r="F1363" s="86"/>
    </row>
    <row r="1364" spans="1:6" s="1" customFormat="1" ht="15" x14ac:dyDescent="0.2">
      <c r="A1364" s="19"/>
      <c r="B1364" s="50"/>
      <c r="C1364" s="50"/>
      <c r="D1364" s="50"/>
      <c r="E1364" s="50"/>
      <c r="F1364" s="20"/>
    </row>
    <row r="1365" spans="1:6" ht="24" customHeight="1" x14ac:dyDescent="0.2">
      <c r="A1365" s="57" t="s">
        <v>274</v>
      </c>
      <c r="B1365" s="388" t="s">
        <v>157</v>
      </c>
      <c r="C1365" s="388"/>
      <c r="D1365" s="388"/>
      <c r="E1365" s="6"/>
      <c r="F1365" s="58">
        <v>1</v>
      </c>
    </row>
    <row r="1366" spans="1:6" ht="51.95" customHeight="1" x14ac:dyDescent="0.2">
      <c r="A1366" s="59" t="s">
        <v>275</v>
      </c>
      <c r="B1366" s="387" t="s">
        <v>158</v>
      </c>
      <c r="C1366" s="387"/>
      <c r="D1366" s="387"/>
      <c r="E1366" s="7" t="s">
        <v>13</v>
      </c>
      <c r="F1366" s="60">
        <f>F1373</f>
        <v>747.87440000000004</v>
      </c>
    </row>
    <row r="1367" spans="1:6" s="1" customFormat="1" ht="15" x14ac:dyDescent="0.2">
      <c r="A1367" s="19"/>
      <c r="B1367" s="50"/>
      <c r="C1367" s="50"/>
      <c r="D1367" s="50"/>
      <c r="E1367" s="50"/>
      <c r="F1367" s="20"/>
    </row>
    <row r="1368" spans="1:6" s="1" customFormat="1" ht="15" x14ac:dyDescent="0.2">
      <c r="A1368" s="21" t="s">
        <v>439</v>
      </c>
      <c r="B1368" s="2" t="s">
        <v>440</v>
      </c>
      <c r="C1368" s="2" t="s">
        <v>441</v>
      </c>
      <c r="D1368" s="2" t="s">
        <v>442</v>
      </c>
      <c r="E1368" s="2" t="s">
        <v>443</v>
      </c>
      <c r="F1368" s="28" t="s">
        <v>334</v>
      </c>
    </row>
    <row r="1369" spans="1:6" s="1" customFormat="1" ht="15" x14ac:dyDescent="0.2">
      <c r="A1369" s="22" t="s">
        <v>444</v>
      </c>
      <c r="B1369" s="3">
        <v>0.25</v>
      </c>
      <c r="C1369" s="27">
        <v>8.5000000000000006E-2</v>
      </c>
      <c r="D1369" s="27">
        <v>2.5000000000000001E-2</v>
      </c>
      <c r="E1369" s="3">
        <f>14.08+44.3+100.34+12.8+30.89+75.31</f>
        <v>277.72000000000003</v>
      </c>
      <c r="F1369" s="90">
        <f>((B1369+C1369+D1369)*E1369)*2</f>
        <v>199.95840000000004</v>
      </c>
    </row>
    <row r="1370" spans="1:6" s="1" customFormat="1" ht="15" x14ac:dyDescent="0.2">
      <c r="A1370" s="22" t="s">
        <v>445</v>
      </c>
      <c r="B1370" s="3">
        <v>0.2</v>
      </c>
      <c r="C1370" s="3">
        <v>0.2</v>
      </c>
      <c r="D1370" s="3">
        <v>0</v>
      </c>
      <c r="E1370" s="3">
        <f>56.1</f>
        <v>56.1</v>
      </c>
      <c r="F1370" s="90">
        <f>((B1370+C1370)*E1370)*2</f>
        <v>44.88</v>
      </c>
    </row>
    <row r="1371" spans="1:6" s="1" customFormat="1" ht="15" customHeight="1" x14ac:dyDescent="0.2">
      <c r="A1371" s="22" t="s">
        <v>446</v>
      </c>
      <c r="B1371" s="3">
        <v>0.15</v>
      </c>
      <c r="C1371" s="3">
        <v>0.05</v>
      </c>
      <c r="D1371" s="3">
        <f>B1371*C1371*2</f>
        <v>1.4999999999999999E-2</v>
      </c>
      <c r="E1371" s="3">
        <f>11+82.12+261.9+138.47</f>
        <v>493.49</v>
      </c>
      <c r="F1371" s="90">
        <f>((B1371+C1371)*E1371)*2</f>
        <v>197.39600000000002</v>
      </c>
    </row>
    <row r="1372" spans="1:6" s="1" customFormat="1" ht="15" x14ac:dyDescent="0.2">
      <c r="A1372" s="22" t="s">
        <v>447</v>
      </c>
      <c r="B1372" s="3">
        <v>0.25</v>
      </c>
      <c r="C1372" s="27">
        <v>0.5</v>
      </c>
      <c r="D1372" s="27">
        <v>0.25</v>
      </c>
      <c r="E1372" s="3">
        <f>53.16+36+69+45.6</f>
        <v>203.76</v>
      </c>
      <c r="F1372" s="90">
        <f>((B1372+C1372)*E1372)*2</f>
        <v>305.64</v>
      </c>
    </row>
    <row r="1373" spans="1:6" s="1" customFormat="1" ht="15" x14ac:dyDescent="0.2">
      <c r="A1373" s="372" t="s">
        <v>227</v>
      </c>
      <c r="B1373" s="373"/>
      <c r="C1373" s="373"/>
      <c r="D1373" s="373"/>
      <c r="E1373" s="373"/>
      <c r="F1373" s="84">
        <f>SUM(F1369:F1372)</f>
        <v>747.87440000000004</v>
      </c>
    </row>
    <row r="1374" spans="1:6" s="1" customFormat="1" ht="15" x14ac:dyDescent="0.2">
      <c r="A1374" s="19"/>
      <c r="B1374" s="50"/>
      <c r="C1374" s="50"/>
      <c r="D1374" s="50"/>
      <c r="E1374" s="50"/>
      <c r="F1374" s="20"/>
    </row>
    <row r="1375" spans="1:6" ht="26.1" customHeight="1" x14ac:dyDescent="0.2">
      <c r="A1375" s="59" t="s">
        <v>276</v>
      </c>
      <c r="B1375" s="387" t="s">
        <v>159</v>
      </c>
      <c r="C1375" s="387"/>
      <c r="D1375" s="387"/>
      <c r="E1375" s="7" t="s">
        <v>13</v>
      </c>
      <c r="F1375" s="60">
        <f>F1382</f>
        <v>747.87440000000004</v>
      </c>
    </row>
    <row r="1376" spans="1:6" s="1" customFormat="1" ht="15" x14ac:dyDescent="0.2">
      <c r="A1376" s="19"/>
      <c r="B1376" s="50"/>
      <c r="C1376" s="50"/>
      <c r="D1376" s="50"/>
      <c r="E1376" s="50"/>
      <c r="F1376" s="20"/>
    </row>
    <row r="1377" spans="1:6" s="1" customFormat="1" ht="15" x14ac:dyDescent="0.2">
      <c r="A1377" s="21" t="s">
        <v>439</v>
      </c>
      <c r="B1377" s="2" t="s">
        <v>440</v>
      </c>
      <c r="C1377" s="2" t="s">
        <v>441</v>
      </c>
      <c r="D1377" s="2" t="s">
        <v>442</v>
      </c>
      <c r="E1377" s="2" t="s">
        <v>443</v>
      </c>
      <c r="F1377" s="28" t="s">
        <v>334</v>
      </c>
    </row>
    <row r="1378" spans="1:6" s="1" customFormat="1" ht="15" x14ac:dyDescent="0.2">
      <c r="A1378" s="22" t="s">
        <v>444</v>
      </c>
      <c r="B1378" s="3">
        <v>0.25</v>
      </c>
      <c r="C1378" s="27">
        <v>8.5000000000000006E-2</v>
      </c>
      <c r="D1378" s="27">
        <v>2.5000000000000001E-2</v>
      </c>
      <c r="E1378" s="3">
        <f>14.08+44.3+100.34+12.8+30.89+75.31</f>
        <v>277.72000000000003</v>
      </c>
      <c r="F1378" s="90">
        <f>((B1378+C1378+D1378)*E1378)*2</f>
        <v>199.95840000000004</v>
      </c>
    </row>
    <row r="1379" spans="1:6" s="1" customFormat="1" ht="15" x14ac:dyDescent="0.2">
      <c r="A1379" s="22" t="s">
        <v>445</v>
      </c>
      <c r="B1379" s="3">
        <v>0.2</v>
      </c>
      <c r="C1379" s="3">
        <v>0.2</v>
      </c>
      <c r="D1379" s="3">
        <v>0</v>
      </c>
      <c r="E1379" s="3">
        <f>56.1</f>
        <v>56.1</v>
      </c>
      <c r="F1379" s="90">
        <f>((B1379+C1379)*E1379)*2</f>
        <v>44.88</v>
      </c>
    </row>
    <row r="1380" spans="1:6" s="1" customFormat="1" ht="15" customHeight="1" x14ac:dyDescent="0.2">
      <c r="A1380" s="22" t="s">
        <v>446</v>
      </c>
      <c r="B1380" s="3">
        <v>0.15</v>
      </c>
      <c r="C1380" s="3">
        <v>0.05</v>
      </c>
      <c r="D1380" s="3">
        <f>B1380*C1380*2</f>
        <v>1.4999999999999999E-2</v>
      </c>
      <c r="E1380" s="3">
        <f>11+82.12+261.9+138.47</f>
        <v>493.49</v>
      </c>
      <c r="F1380" s="90">
        <f>((B1380+C1380)*E1380)*2</f>
        <v>197.39600000000002</v>
      </c>
    </row>
    <row r="1381" spans="1:6" s="1" customFormat="1" ht="15" x14ac:dyDescent="0.2">
      <c r="A1381" s="22" t="s">
        <v>447</v>
      </c>
      <c r="B1381" s="3">
        <v>0.25</v>
      </c>
      <c r="C1381" s="27">
        <v>0.5</v>
      </c>
      <c r="D1381" s="27">
        <v>0.25</v>
      </c>
      <c r="E1381" s="3">
        <f>53.16+36+69+45.6</f>
        <v>203.76</v>
      </c>
      <c r="F1381" s="90">
        <f>((B1381+C1381)*E1381)*2</f>
        <v>305.64</v>
      </c>
    </row>
    <row r="1382" spans="1:6" s="1" customFormat="1" ht="15" x14ac:dyDescent="0.2">
      <c r="A1382" s="372" t="s">
        <v>227</v>
      </c>
      <c r="B1382" s="373"/>
      <c r="C1382" s="373"/>
      <c r="D1382" s="373"/>
      <c r="E1382" s="373"/>
      <c r="F1382" s="84">
        <f>SUM(F1378:F1381)</f>
        <v>747.87440000000004</v>
      </c>
    </row>
    <row r="1383" spans="1:6" s="1" customFormat="1" ht="15" x14ac:dyDescent="0.2">
      <c r="A1383" s="19"/>
      <c r="B1383" s="50"/>
      <c r="C1383" s="50"/>
      <c r="D1383" s="50"/>
      <c r="E1383" s="50"/>
      <c r="F1383" s="20"/>
    </row>
    <row r="1384" spans="1:6" ht="24" customHeight="1" x14ac:dyDescent="0.2">
      <c r="A1384" s="57" t="s">
        <v>1026</v>
      </c>
      <c r="B1384" s="388" t="s">
        <v>95</v>
      </c>
      <c r="C1384" s="388"/>
      <c r="D1384" s="388"/>
      <c r="E1384" s="6"/>
      <c r="F1384" s="58">
        <v>1</v>
      </c>
    </row>
    <row r="1385" spans="1:6" ht="39" customHeight="1" x14ac:dyDescent="0.2">
      <c r="A1385" s="59" t="s">
        <v>1027</v>
      </c>
      <c r="B1385" s="387" t="s">
        <v>160</v>
      </c>
      <c r="C1385" s="387"/>
      <c r="D1385" s="387"/>
      <c r="E1385" s="7" t="s">
        <v>13</v>
      </c>
      <c r="F1385" s="60">
        <f>D1389</f>
        <v>9.5265000000000004</v>
      </c>
    </row>
    <row r="1386" spans="1:6" s="1" customFormat="1" ht="15" x14ac:dyDescent="0.2">
      <c r="A1386" s="19"/>
      <c r="B1386" s="50"/>
      <c r="C1386" s="50"/>
      <c r="D1386" s="50"/>
      <c r="E1386" s="50"/>
      <c r="F1386" s="20"/>
    </row>
    <row r="1387" spans="1:6" s="1" customFormat="1" ht="15" x14ac:dyDescent="0.2">
      <c r="A1387" s="21" t="s">
        <v>186</v>
      </c>
      <c r="B1387" s="2" t="s">
        <v>187</v>
      </c>
      <c r="C1387" s="2" t="s">
        <v>434</v>
      </c>
      <c r="D1387" s="2" t="s">
        <v>194</v>
      </c>
      <c r="E1387" s="47"/>
      <c r="F1387" s="35"/>
    </row>
    <row r="1388" spans="1:6" s="1" customFormat="1" ht="25.5" x14ac:dyDescent="0.2">
      <c r="A1388" s="22" t="s">
        <v>448</v>
      </c>
      <c r="B1388" s="3">
        <v>6.57</v>
      </c>
      <c r="C1388" s="3">
        <v>1.45</v>
      </c>
      <c r="D1388" s="3">
        <f>B1388*C1388</f>
        <v>9.5265000000000004</v>
      </c>
      <c r="E1388" s="45"/>
      <c r="F1388" s="34"/>
    </row>
    <row r="1389" spans="1:6" s="1" customFormat="1" ht="15" x14ac:dyDescent="0.2">
      <c r="A1389" s="372" t="s">
        <v>433</v>
      </c>
      <c r="B1389" s="373"/>
      <c r="C1389" s="373"/>
      <c r="D1389" s="2">
        <f>SUM(D1388:D1388)</f>
        <v>9.5265000000000004</v>
      </c>
      <c r="E1389" s="43"/>
      <c r="F1389" s="86"/>
    </row>
    <row r="1390" spans="1:6" s="1" customFormat="1" ht="15" x14ac:dyDescent="0.2">
      <c r="A1390" s="19"/>
      <c r="B1390" s="50"/>
      <c r="C1390" s="50"/>
      <c r="D1390" s="50"/>
      <c r="E1390" s="50"/>
      <c r="F1390" s="20"/>
    </row>
    <row r="1391" spans="1:6" ht="24" customHeight="1" x14ac:dyDescent="0.2">
      <c r="A1391" s="59" t="s">
        <v>1028</v>
      </c>
      <c r="B1391" s="387" t="s">
        <v>161</v>
      </c>
      <c r="C1391" s="387"/>
      <c r="D1391" s="387"/>
      <c r="E1391" s="7" t="s">
        <v>122</v>
      </c>
      <c r="F1391" s="60">
        <f>D1394</f>
        <v>119.96000000000001</v>
      </c>
    </row>
    <row r="1392" spans="1:6" s="1" customFormat="1" ht="15" x14ac:dyDescent="0.2">
      <c r="A1392" s="19"/>
      <c r="B1392" s="50"/>
      <c r="C1392" s="50"/>
      <c r="D1392" s="50"/>
      <c r="E1392" s="50"/>
      <c r="F1392" s="61"/>
    </row>
    <row r="1393" spans="1:6" s="1" customFormat="1" ht="15" x14ac:dyDescent="0.2">
      <c r="A1393" s="63"/>
      <c r="B1393" s="2" t="s">
        <v>186</v>
      </c>
      <c r="C1393" s="2" t="s">
        <v>187</v>
      </c>
      <c r="D1393" s="2" t="s">
        <v>370</v>
      </c>
      <c r="E1393" s="43"/>
      <c r="F1393" s="33"/>
    </row>
    <row r="1394" spans="1:6" s="1" customFormat="1" ht="29.25" customHeight="1" x14ac:dyDescent="0.2">
      <c r="A1394" s="83" t="s">
        <v>364</v>
      </c>
      <c r="B1394" s="3" t="s">
        <v>362</v>
      </c>
      <c r="C1394" s="3">
        <f>6.57*2</f>
        <v>13.14</v>
      </c>
      <c r="D1394" s="417">
        <f>SUM(C1394:C1396)</f>
        <v>119.96000000000001</v>
      </c>
      <c r="E1394" s="45"/>
      <c r="F1394" s="34"/>
    </row>
    <row r="1395" spans="1:6" s="1" customFormat="1" ht="29.25" customHeight="1" x14ac:dyDescent="0.2">
      <c r="A1395" s="430" t="s">
        <v>354</v>
      </c>
      <c r="B1395" s="3" t="s">
        <v>371</v>
      </c>
      <c r="C1395" s="3">
        <f>6.75*2</f>
        <v>13.5</v>
      </c>
      <c r="D1395" s="439"/>
      <c r="E1395" s="45"/>
      <c r="F1395" s="34"/>
    </row>
    <row r="1396" spans="1:6" s="1" customFormat="1" ht="29.25" customHeight="1" x14ac:dyDescent="0.2">
      <c r="A1396" s="432"/>
      <c r="B1396" s="3" t="s">
        <v>372</v>
      </c>
      <c r="C1396" s="3">
        <f>2.83*2+23.48*2+20*2+0.35*2</f>
        <v>93.320000000000007</v>
      </c>
      <c r="D1396" s="418"/>
      <c r="E1396" s="45"/>
      <c r="F1396" s="34"/>
    </row>
    <row r="1397" spans="1:6" s="1" customFormat="1" ht="15" x14ac:dyDescent="0.2">
      <c r="A1397" s="19"/>
      <c r="B1397" s="50"/>
      <c r="C1397" s="50"/>
      <c r="D1397" s="50"/>
      <c r="E1397" s="50"/>
      <c r="F1397" s="61"/>
    </row>
    <row r="1398" spans="1:6" ht="26.1" customHeight="1" x14ac:dyDescent="0.2">
      <c r="A1398" s="59" t="s">
        <v>1029</v>
      </c>
      <c r="B1398" s="387" t="s">
        <v>96</v>
      </c>
      <c r="C1398" s="387"/>
      <c r="D1398" s="387"/>
      <c r="E1398" s="7" t="s">
        <v>10</v>
      </c>
      <c r="F1398" s="60">
        <f>B1401</f>
        <v>2</v>
      </c>
    </row>
    <row r="1399" spans="1:6" s="1" customFormat="1" ht="15" x14ac:dyDescent="0.2">
      <c r="A1399" s="19"/>
      <c r="B1399" s="50"/>
      <c r="C1399" s="50"/>
      <c r="D1399" s="50"/>
      <c r="E1399" s="50"/>
      <c r="F1399" s="20"/>
    </row>
    <row r="1400" spans="1:6" s="1" customFormat="1" ht="15" x14ac:dyDescent="0.2">
      <c r="A1400" s="21" t="s">
        <v>449</v>
      </c>
      <c r="B1400" s="2" t="s">
        <v>192</v>
      </c>
      <c r="C1400" s="43"/>
      <c r="D1400" s="43"/>
      <c r="E1400" s="47"/>
      <c r="F1400" s="35"/>
    </row>
    <row r="1401" spans="1:6" s="1" customFormat="1" ht="15" x14ac:dyDescent="0.2">
      <c r="A1401" s="22" t="s">
        <v>436</v>
      </c>
      <c r="B1401" s="2">
        <f>2</f>
        <v>2</v>
      </c>
      <c r="C1401" s="50"/>
      <c r="D1401" s="50"/>
      <c r="E1401" s="45"/>
      <c r="F1401" s="34"/>
    </row>
    <row r="1402" spans="1:6" s="1" customFormat="1" ht="15" x14ac:dyDescent="0.2">
      <c r="A1402" s="19"/>
      <c r="B1402" s="50"/>
      <c r="C1402" s="50"/>
      <c r="D1402" s="50"/>
      <c r="E1402" s="50"/>
      <c r="F1402" s="20"/>
    </row>
    <row r="1403" spans="1:6" x14ac:dyDescent="0.2">
      <c r="A1403" s="81" t="s">
        <v>1030</v>
      </c>
      <c r="B1403" s="388" t="s">
        <v>459</v>
      </c>
      <c r="C1403" s="388"/>
      <c r="D1403" s="388"/>
      <c r="E1403" s="6"/>
      <c r="F1403" s="58">
        <v>1</v>
      </c>
    </row>
    <row r="1404" spans="1:6" ht="42.75" customHeight="1" x14ac:dyDescent="0.2">
      <c r="A1404" s="59" t="s">
        <v>1031</v>
      </c>
      <c r="B1404" s="449" t="s">
        <v>112</v>
      </c>
      <c r="C1404" s="450"/>
      <c r="D1404" s="451"/>
      <c r="E1404" s="7" t="s">
        <v>19</v>
      </c>
      <c r="F1404" s="60">
        <f>F1409</f>
        <v>0.42715000000000003</v>
      </c>
    </row>
    <row r="1405" spans="1:6" s="1" customFormat="1" ht="15" x14ac:dyDescent="0.2">
      <c r="A1405" s="19"/>
      <c r="B1405" s="50"/>
      <c r="C1405" s="50"/>
      <c r="D1405" s="50"/>
      <c r="E1405" s="50"/>
      <c r="F1405" s="61"/>
    </row>
    <row r="1406" spans="1:6" s="1" customFormat="1" ht="15" x14ac:dyDescent="0.2">
      <c r="A1406" s="21" t="s">
        <v>186</v>
      </c>
      <c r="B1406" s="2" t="s">
        <v>187</v>
      </c>
      <c r="C1406" s="2" t="s">
        <v>188</v>
      </c>
      <c r="D1406" s="2" t="s">
        <v>361</v>
      </c>
      <c r="E1406" s="2" t="s">
        <v>295</v>
      </c>
      <c r="F1406" s="28" t="s">
        <v>240</v>
      </c>
    </row>
    <row r="1407" spans="1:6" s="1" customFormat="1" ht="15" customHeight="1" x14ac:dyDescent="0.2">
      <c r="A1407" s="22" t="s">
        <v>460</v>
      </c>
      <c r="B1407" s="3">
        <f>(11.73+1.11)+5.11</f>
        <v>17.95</v>
      </c>
      <c r="C1407" s="3">
        <v>0.12</v>
      </c>
      <c r="D1407" s="3">
        <v>0.1</v>
      </c>
      <c r="E1407" s="5">
        <v>1</v>
      </c>
      <c r="F1407" s="64">
        <f>B1407*C1407*D1407*E1407</f>
        <v>0.21540000000000001</v>
      </c>
    </row>
    <row r="1408" spans="1:6" s="1" customFormat="1" ht="30" customHeight="1" x14ac:dyDescent="0.2">
      <c r="A1408" s="22" t="s">
        <v>461</v>
      </c>
      <c r="B1408" s="3">
        <v>0.55000000000000004</v>
      </c>
      <c r="C1408" s="3">
        <v>0.55000000000000004</v>
      </c>
      <c r="D1408" s="3">
        <v>0.1</v>
      </c>
      <c r="E1408" s="5">
        <v>7</v>
      </c>
      <c r="F1408" s="64">
        <f>B1408*C1408*D1408*E1408</f>
        <v>0.21175000000000005</v>
      </c>
    </row>
    <row r="1409" spans="1:6" s="1" customFormat="1" ht="15" x14ac:dyDescent="0.2">
      <c r="A1409" s="355" t="s">
        <v>240</v>
      </c>
      <c r="B1409" s="350"/>
      <c r="C1409" s="350"/>
      <c r="D1409" s="350"/>
      <c r="E1409" s="350"/>
      <c r="F1409" s="31">
        <f>SUM(F1407:F1408)</f>
        <v>0.42715000000000003</v>
      </c>
    </row>
    <row r="1410" spans="1:6" s="1" customFormat="1" ht="15" x14ac:dyDescent="0.2">
      <c r="A1410" s="19"/>
      <c r="B1410" s="50"/>
      <c r="C1410" s="50"/>
      <c r="D1410" s="50"/>
      <c r="E1410" s="50"/>
      <c r="F1410" s="61"/>
    </row>
    <row r="1411" spans="1:6" ht="26.1" customHeight="1" x14ac:dyDescent="0.2">
      <c r="A1411" s="59" t="s">
        <v>1032</v>
      </c>
      <c r="B1411" s="449" t="s">
        <v>450</v>
      </c>
      <c r="C1411" s="450"/>
      <c r="D1411" s="451"/>
      <c r="E1411" s="7" t="s">
        <v>19</v>
      </c>
      <c r="F1411" s="60">
        <f>F1416</f>
        <v>1.28145</v>
      </c>
    </row>
    <row r="1412" spans="1:6" s="1" customFormat="1" ht="15" x14ac:dyDescent="0.2">
      <c r="A1412" s="19"/>
      <c r="B1412" s="50"/>
      <c r="C1412" s="50"/>
      <c r="D1412" s="50"/>
      <c r="E1412" s="50"/>
      <c r="F1412" s="61"/>
    </row>
    <row r="1413" spans="1:6" s="1" customFormat="1" ht="15" x14ac:dyDescent="0.2">
      <c r="A1413" s="21" t="s">
        <v>186</v>
      </c>
      <c r="B1413" s="2" t="s">
        <v>187</v>
      </c>
      <c r="C1413" s="2" t="s">
        <v>188</v>
      </c>
      <c r="D1413" s="2" t="s">
        <v>361</v>
      </c>
      <c r="E1413" s="2" t="s">
        <v>295</v>
      </c>
      <c r="F1413" s="28" t="s">
        <v>240</v>
      </c>
    </row>
    <row r="1414" spans="1:6" s="1" customFormat="1" ht="15" customHeight="1" x14ac:dyDescent="0.2">
      <c r="A1414" s="22" t="s">
        <v>460</v>
      </c>
      <c r="B1414" s="3">
        <f>(11.73+1.11)+5.11</f>
        <v>17.95</v>
      </c>
      <c r="C1414" s="3">
        <v>0.12</v>
      </c>
      <c r="D1414" s="3">
        <v>0.3</v>
      </c>
      <c r="E1414" s="5">
        <v>1</v>
      </c>
      <c r="F1414" s="64">
        <f>B1414*C1414*D1414*E1414</f>
        <v>0.6462</v>
      </c>
    </row>
    <row r="1415" spans="1:6" s="1" customFormat="1" ht="30" customHeight="1" x14ac:dyDescent="0.2">
      <c r="A1415" s="22" t="s">
        <v>461</v>
      </c>
      <c r="B1415" s="3">
        <v>0.55000000000000004</v>
      </c>
      <c r="C1415" s="3">
        <v>0.55000000000000004</v>
      </c>
      <c r="D1415" s="3">
        <v>0.3</v>
      </c>
      <c r="E1415" s="5">
        <v>7</v>
      </c>
      <c r="F1415" s="64">
        <f>B1415*C1415*D1415*E1415</f>
        <v>0.63525000000000009</v>
      </c>
    </row>
    <row r="1416" spans="1:6" s="1" customFormat="1" ht="15" x14ac:dyDescent="0.2">
      <c r="A1416" s="355" t="s">
        <v>240</v>
      </c>
      <c r="B1416" s="350"/>
      <c r="C1416" s="350"/>
      <c r="D1416" s="350"/>
      <c r="E1416" s="350"/>
      <c r="F1416" s="31">
        <f>SUM(F1414:F1415)</f>
        <v>1.28145</v>
      </c>
    </row>
    <row r="1417" spans="1:6" s="1" customFormat="1" ht="15" x14ac:dyDescent="0.2">
      <c r="A1417" s="19"/>
      <c r="B1417" s="50"/>
      <c r="C1417" s="50"/>
      <c r="D1417" s="50"/>
      <c r="E1417" s="50"/>
      <c r="F1417" s="61"/>
    </row>
    <row r="1418" spans="1:6" x14ac:dyDescent="0.2">
      <c r="A1418" s="59" t="s">
        <v>1033</v>
      </c>
      <c r="B1418" s="449" t="s">
        <v>451</v>
      </c>
      <c r="C1418" s="450"/>
      <c r="D1418" s="451"/>
      <c r="E1418" s="7" t="s">
        <v>19</v>
      </c>
      <c r="F1418" s="60">
        <f>F1423</f>
        <v>1.28145</v>
      </c>
    </row>
    <row r="1419" spans="1:6" s="1" customFormat="1" ht="15" x14ac:dyDescent="0.2">
      <c r="A1419" s="19"/>
      <c r="B1419" s="50"/>
      <c r="C1419" s="50"/>
      <c r="D1419" s="50"/>
      <c r="E1419" s="50"/>
      <c r="F1419" s="61"/>
    </row>
    <row r="1420" spans="1:6" s="1" customFormat="1" ht="15" x14ac:dyDescent="0.2">
      <c r="A1420" s="21" t="s">
        <v>186</v>
      </c>
      <c r="B1420" s="2" t="s">
        <v>187</v>
      </c>
      <c r="C1420" s="2" t="s">
        <v>188</v>
      </c>
      <c r="D1420" s="2" t="s">
        <v>361</v>
      </c>
      <c r="E1420" s="2" t="s">
        <v>295</v>
      </c>
      <c r="F1420" s="28" t="s">
        <v>240</v>
      </c>
    </row>
    <row r="1421" spans="1:6" s="1" customFormat="1" ht="15" customHeight="1" x14ac:dyDescent="0.2">
      <c r="A1421" s="22" t="s">
        <v>460</v>
      </c>
      <c r="B1421" s="3">
        <f>(11.73+1.11)+5.11</f>
        <v>17.95</v>
      </c>
      <c r="C1421" s="3">
        <v>0.12</v>
      </c>
      <c r="D1421" s="3">
        <v>0.3</v>
      </c>
      <c r="E1421" s="5">
        <v>1</v>
      </c>
      <c r="F1421" s="64">
        <f>B1421*C1421*D1421*E1421</f>
        <v>0.6462</v>
      </c>
    </row>
    <row r="1422" spans="1:6" s="1" customFormat="1" ht="30" customHeight="1" x14ac:dyDescent="0.2">
      <c r="A1422" s="22" t="s">
        <v>461</v>
      </c>
      <c r="B1422" s="3">
        <v>0.55000000000000004</v>
      </c>
      <c r="C1422" s="3">
        <v>0.55000000000000004</v>
      </c>
      <c r="D1422" s="3">
        <v>0.3</v>
      </c>
      <c r="E1422" s="5">
        <v>7</v>
      </c>
      <c r="F1422" s="64">
        <f>B1422*C1422*D1422*E1422</f>
        <v>0.63525000000000009</v>
      </c>
    </row>
    <row r="1423" spans="1:6" s="1" customFormat="1" ht="15" x14ac:dyDescent="0.2">
      <c r="A1423" s="355" t="s">
        <v>240</v>
      </c>
      <c r="B1423" s="350"/>
      <c r="C1423" s="350"/>
      <c r="D1423" s="350"/>
      <c r="E1423" s="350"/>
      <c r="F1423" s="31">
        <f>SUM(F1421:F1422)</f>
        <v>1.28145</v>
      </c>
    </row>
    <row r="1424" spans="1:6" s="1" customFormat="1" ht="15" x14ac:dyDescent="0.2">
      <c r="A1424" s="19"/>
      <c r="B1424" s="50"/>
      <c r="C1424" s="50"/>
      <c r="D1424" s="50"/>
      <c r="E1424" s="50"/>
      <c r="F1424" s="61"/>
    </row>
    <row r="1425" spans="1:6" ht="26.1" customHeight="1" x14ac:dyDescent="0.2">
      <c r="A1425" s="59" t="s">
        <v>1034</v>
      </c>
      <c r="B1425" s="449" t="s">
        <v>452</v>
      </c>
      <c r="C1425" s="450"/>
      <c r="D1425" s="451"/>
      <c r="E1425" s="7" t="s">
        <v>10</v>
      </c>
      <c r="F1425" s="60">
        <f>15.18+23.54</f>
        <v>38.72</v>
      </c>
    </row>
    <row r="1426" spans="1:6" s="1" customFormat="1" ht="15" x14ac:dyDescent="0.2">
      <c r="A1426" s="356" t="s">
        <v>462</v>
      </c>
      <c r="B1426" s="357"/>
      <c r="C1426" s="357"/>
      <c r="D1426" s="357"/>
      <c r="E1426" s="357"/>
      <c r="F1426" s="358"/>
    </row>
    <row r="1427" spans="1:6" ht="51.95" customHeight="1" x14ac:dyDescent="0.2">
      <c r="A1427" s="59" t="s">
        <v>1035</v>
      </c>
      <c r="B1427" s="449" t="s">
        <v>453</v>
      </c>
      <c r="C1427" s="450"/>
      <c r="D1427" s="451"/>
      <c r="E1427" s="7" t="s">
        <v>33</v>
      </c>
      <c r="F1427" s="60">
        <v>2</v>
      </c>
    </row>
    <row r="1428" spans="1:6" s="1" customFormat="1" ht="15" x14ac:dyDescent="0.2">
      <c r="A1428" s="356" t="s">
        <v>463</v>
      </c>
      <c r="B1428" s="357"/>
      <c r="C1428" s="357"/>
      <c r="D1428" s="357"/>
      <c r="E1428" s="357"/>
      <c r="F1428" s="358"/>
    </row>
    <row r="1429" spans="1:6" ht="26.1" customHeight="1" x14ac:dyDescent="0.2">
      <c r="A1429" s="59" t="s">
        <v>1036</v>
      </c>
      <c r="B1429" s="449" t="s">
        <v>454</v>
      </c>
      <c r="C1429" s="450"/>
      <c r="D1429" s="451"/>
      <c r="E1429" s="7" t="s">
        <v>33</v>
      </c>
      <c r="F1429" s="60">
        <f>11*2</f>
        <v>22</v>
      </c>
    </row>
    <row r="1430" spans="1:6" s="1" customFormat="1" ht="15" x14ac:dyDescent="0.2">
      <c r="A1430" s="356" t="s">
        <v>462</v>
      </c>
      <c r="B1430" s="357"/>
      <c r="C1430" s="357"/>
      <c r="D1430" s="357"/>
      <c r="E1430" s="357"/>
      <c r="F1430" s="358"/>
    </row>
    <row r="1431" spans="1:6" ht="26.1" customHeight="1" x14ac:dyDescent="0.2">
      <c r="A1431" s="59" t="s">
        <v>1037</v>
      </c>
      <c r="B1431" s="449" t="s">
        <v>455</v>
      </c>
      <c r="C1431" s="450"/>
      <c r="D1431" s="451"/>
      <c r="E1431" s="7" t="s">
        <v>33</v>
      </c>
      <c r="F1431" s="60">
        <v>2</v>
      </c>
    </row>
    <row r="1432" spans="1:6" s="1" customFormat="1" ht="15" x14ac:dyDescent="0.2">
      <c r="A1432" s="356" t="s">
        <v>463</v>
      </c>
      <c r="B1432" s="357"/>
      <c r="C1432" s="357"/>
      <c r="D1432" s="357"/>
      <c r="E1432" s="357"/>
      <c r="F1432" s="358"/>
    </row>
    <row r="1433" spans="1:6" ht="26.1" customHeight="1" x14ac:dyDescent="0.2">
      <c r="A1433" s="59" t="s">
        <v>1038</v>
      </c>
      <c r="B1433" s="449" t="s">
        <v>456</v>
      </c>
      <c r="C1433" s="450"/>
      <c r="D1433" s="451"/>
      <c r="E1433" s="7" t="s">
        <v>33</v>
      </c>
      <c r="F1433" s="60">
        <f>18</f>
        <v>18</v>
      </c>
    </row>
    <row r="1434" spans="1:6" s="1" customFormat="1" ht="15" x14ac:dyDescent="0.2">
      <c r="A1434" s="356" t="s">
        <v>462</v>
      </c>
      <c r="B1434" s="357"/>
      <c r="C1434" s="357"/>
      <c r="D1434" s="357"/>
      <c r="E1434" s="357"/>
      <c r="F1434" s="358"/>
    </row>
    <row r="1435" spans="1:6" ht="28.5" customHeight="1" x14ac:dyDescent="0.2">
      <c r="A1435" s="59" t="s">
        <v>1039</v>
      </c>
      <c r="B1435" s="449" t="s">
        <v>457</v>
      </c>
      <c r="C1435" s="450"/>
      <c r="D1435" s="451"/>
      <c r="E1435" s="7" t="s">
        <v>10</v>
      </c>
      <c r="F1435" s="60">
        <f>45.65</f>
        <v>45.65</v>
      </c>
    </row>
    <row r="1436" spans="1:6" s="1" customFormat="1" ht="15" x14ac:dyDescent="0.2">
      <c r="A1436" s="356" t="s">
        <v>464</v>
      </c>
      <c r="B1436" s="357"/>
      <c r="C1436" s="357"/>
      <c r="D1436" s="357"/>
      <c r="E1436" s="357"/>
      <c r="F1436" s="358"/>
    </row>
    <row r="1437" spans="1:6" x14ac:dyDescent="0.2">
      <c r="A1437" s="59" t="s">
        <v>1040</v>
      </c>
      <c r="B1437" s="449" t="s">
        <v>458</v>
      </c>
      <c r="C1437" s="450"/>
      <c r="D1437" s="451"/>
      <c r="E1437" s="7" t="s">
        <v>33</v>
      </c>
      <c r="F1437" s="60">
        <f>7</f>
        <v>7</v>
      </c>
    </row>
    <row r="1438" spans="1:6" s="1" customFormat="1" ht="15" x14ac:dyDescent="0.2">
      <c r="A1438" s="356" t="s">
        <v>464</v>
      </c>
      <c r="B1438" s="357"/>
      <c r="C1438" s="357"/>
      <c r="D1438" s="357"/>
      <c r="E1438" s="357"/>
      <c r="F1438" s="358"/>
    </row>
    <row r="1439" spans="1:6" s="10" customFormat="1" x14ac:dyDescent="0.2">
      <c r="A1439" s="91" t="s">
        <v>1041</v>
      </c>
      <c r="B1439" s="448" t="s">
        <v>465</v>
      </c>
      <c r="C1439" s="448"/>
      <c r="D1439" s="448"/>
      <c r="E1439" s="49"/>
      <c r="F1439" s="92">
        <v>1</v>
      </c>
    </row>
    <row r="1440" spans="1:6" s="1" customFormat="1" ht="15" x14ac:dyDescent="0.2">
      <c r="A1440" s="356" t="s">
        <v>984</v>
      </c>
      <c r="B1440" s="357"/>
      <c r="C1440" s="357"/>
      <c r="D1440" s="357"/>
      <c r="E1440" s="357"/>
      <c r="F1440" s="358"/>
    </row>
    <row r="1441" spans="1:6" ht="39" customHeight="1" x14ac:dyDescent="0.2">
      <c r="A1441" s="80" t="s">
        <v>1042</v>
      </c>
      <c r="B1441" s="348" t="s">
        <v>936</v>
      </c>
      <c r="C1441" s="348"/>
      <c r="D1441" s="348"/>
      <c r="E1441" s="25" t="s">
        <v>16</v>
      </c>
      <c r="F1441" s="93">
        <v>15</v>
      </c>
    </row>
    <row r="1442" spans="1:6" ht="39" customHeight="1" x14ac:dyDescent="0.2">
      <c r="A1442" s="80" t="s">
        <v>1043</v>
      </c>
      <c r="B1442" s="348" t="s">
        <v>667</v>
      </c>
      <c r="C1442" s="348"/>
      <c r="D1442" s="348"/>
      <c r="E1442" s="25" t="s">
        <v>33</v>
      </c>
      <c r="F1442" s="93">
        <v>3</v>
      </c>
    </row>
    <row r="1443" spans="1:6" ht="39" customHeight="1" x14ac:dyDescent="0.2">
      <c r="A1443" s="80" t="s">
        <v>1044</v>
      </c>
      <c r="B1443" s="348" t="s">
        <v>935</v>
      </c>
      <c r="C1443" s="348"/>
      <c r="D1443" s="348"/>
      <c r="E1443" s="25" t="s">
        <v>33</v>
      </c>
      <c r="F1443" s="93">
        <v>17</v>
      </c>
    </row>
    <row r="1444" spans="1:6" ht="39" customHeight="1" x14ac:dyDescent="0.2">
      <c r="A1444" s="80" t="s">
        <v>1045</v>
      </c>
      <c r="B1444" s="348" t="s">
        <v>934</v>
      </c>
      <c r="C1444" s="348"/>
      <c r="D1444" s="348"/>
      <c r="E1444" s="25" t="s">
        <v>33</v>
      </c>
      <c r="F1444" s="93">
        <v>4</v>
      </c>
    </row>
    <row r="1445" spans="1:6" ht="26.1" customHeight="1" x14ac:dyDescent="0.2">
      <c r="A1445" s="80" t="s">
        <v>1046</v>
      </c>
      <c r="B1445" s="348" t="s">
        <v>671</v>
      </c>
      <c r="C1445" s="348"/>
      <c r="D1445" s="348"/>
      <c r="E1445" s="25" t="s">
        <v>33</v>
      </c>
      <c r="F1445" s="93">
        <v>24</v>
      </c>
    </row>
    <row r="1446" spans="1:6" ht="39" customHeight="1" x14ac:dyDescent="0.2">
      <c r="A1446" s="80" t="s">
        <v>1047</v>
      </c>
      <c r="B1446" s="348" t="s">
        <v>933</v>
      </c>
      <c r="C1446" s="348"/>
      <c r="D1446" s="348"/>
      <c r="E1446" s="25" t="s">
        <v>33</v>
      </c>
      <c r="F1446" s="93">
        <v>22</v>
      </c>
    </row>
    <row r="1447" spans="1:6" ht="39" customHeight="1" x14ac:dyDescent="0.2">
      <c r="A1447" s="80" t="s">
        <v>1048</v>
      </c>
      <c r="B1447" s="348" t="s">
        <v>675</v>
      </c>
      <c r="C1447" s="348"/>
      <c r="D1447" s="348"/>
      <c r="E1447" s="25" t="s">
        <v>10</v>
      </c>
      <c r="F1447" s="93">
        <v>1137</v>
      </c>
    </row>
    <row r="1448" spans="1:6" ht="39" customHeight="1" x14ac:dyDescent="0.2">
      <c r="A1448" s="80" t="s">
        <v>1049</v>
      </c>
      <c r="B1448" s="348" t="s">
        <v>932</v>
      </c>
      <c r="C1448" s="348"/>
      <c r="D1448" s="348"/>
      <c r="E1448" s="25" t="s">
        <v>10</v>
      </c>
      <c r="F1448" s="93">
        <v>102</v>
      </c>
    </row>
    <row r="1449" spans="1:6" ht="39" customHeight="1" x14ac:dyDescent="0.2">
      <c r="A1449" s="80" t="s">
        <v>1050</v>
      </c>
      <c r="B1449" s="348" t="s">
        <v>931</v>
      </c>
      <c r="C1449" s="348"/>
      <c r="D1449" s="348"/>
      <c r="E1449" s="25" t="s">
        <v>10</v>
      </c>
      <c r="F1449" s="93">
        <v>306</v>
      </c>
    </row>
    <row r="1450" spans="1:6" ht="39" customHeight="1" x14ac:dyDescent="0.2">
      <c r="A1450" s="80" t="s">
        <v>1051</v>
      </c>
      <c r="B1450" s="348" t="s">
        <v>930</v>
      </c>
      <c r="C1450" s="348"/>
      <c r="D1450" s="348"/>
      <c r="E1450" s="25" t="s">
        <v>33</v>
      </c>
      <c r="F1450" s="93">
        <v>1</v>
      </c>
    </row>
    <row r="1451" spans="1:6" ht="39" customHeight="1" x14ac:dyDescent="0.2">
      <c r="A1451" s="80" t="s">
        <v>1052</v>
      </c>
      <c r="B1451" s="348" t="s">
        <v>929</v>
      </c>
      <c r="C1451" s="348"/>
      <c r="D1451" s="348"/>
      <c r="E1451" s="25" t="s">
        <v>33</v>
      </c>
      <c r="F1451" s="93">
        <v>2</v>
      </c>
    </row>
    <row r="1452" spans="1:6" ht="39" customHeight="1" x14ac:dyDescent="0.2">
      <c r="A1452" s="80" t="s">
        <v>1053</v>
      </c>
      <c r="B1452" s="348" t="s">
        <v>683</v>
      </c>
      <c r="C1452" s="348"/>
      <c r="D1452" s="348"/>
      <c r="E1452" s="25" t="s">
        <v>33</v>
      </c>
      <c r="F1452" s="93">
        <v>1</v>
      </c>
    </row>
    <row r="1453" spans="1:6" ht="39" customHeight="1" x14ac:dyDescent="0.2">
      <c r="A1453" s="80" t="s">
        <v>1054</v>
      </c>
      <c r="B1453" s="348" t="s">
        <v>928</v>
      </c>
      <c r="C1453" s="348"/>
      <c r="D1453" s="348"/>
      <c r="E1453" s="25" t="s">
        <v>33</v>
      </c>
      <c r="F1453" s="93">
        <v>2</v>
      </c>
    </row>
    <row r="1454" spans="1:6" ht="39" customHeight="1" x14ac:dyDescent="0.2">
      <c r="A1454" s="80" t="s">
        <v>1055</v>
      </c>
      <c r="B1454" s="348" t="s">
        <v>927</v>
      </c>
      <c r="C1454" s="348"/>
      <c r="D1454" s="348"/>
      <c r="E1454" s="25" t="s">
        <v>33</v>
      </c>
      <c r="F1454" s="93">
        <v>1</v>
      </c>
    </row>
    <row r="1455" spans="1:6" ht="39" customHeight="1" x14ac:dyDescent="0.2">
      <c r="A1455" s="80" t="s">
        <v>1056</v>
      </c>
      <c r="B1455" s="348" t="s">
        <v>926</v>
      </c>
      <c r="C1455" s="348"/>
      <c r="D1455" s="348"/>
      <c r="E1455" s="25" t="s">
        <v>33</v>
      </c>
      <c r="F1455" s="93">
        <v>16</v>
      </c>
    </row>
    <row r="1456" spans="1:6" ht="39" customHeight="1" x14ac:dyDescent="0.2">
      <c r="A1456" s="80" t="s">
        <v>1057</v>
      </c>
      <c r="B1456" s="348" t="s">
        <v>925</v>
      </c>
      <c r="C1456" s="348"/>
      <c r="D1456" s="348"/>
      <c r="E1456" s="25" t="s">
        <v>33</v>
      </c>
      <c r="F1456" s="93">
        <v>1</v>
      </c>
    </row>
    <row r="1457" spans="1:6" ht="26.1" customHeight="1" x14ac:dyDescent="0.2">
      <c r="A1457" s="80" t="s">
        <v>1058</v>
      </c>
      <c r="B1457" s="348" t="s">
        <v>687</v>
      </c>
      <c r="C1457" s="348"/>
      <c r="D1457" s="348"/>
      <c r="E1457" s="25" t="s">
        <v>33</v>
      </c>
      <c r="F1457" s="93">
        <v>2</v>
      </c>
    </row>
    <row r="1458" spans="1:6" ht="39" customHeight="1" x14ac:dyDescent="0.2">
      <c r="A1458" s="80" t="s">
        <v>1059</v>
      </c>
      <c r="B1458" s="348" t="s">
        <v>924</v>
      </c>
      <c r="C1458" s="348"/>
      <c r="D1458" s="348"/>
      <c r="E1458" s="25" t="s">
        <v>33</v>
      </c>
      <c r="F1458" s="93">
        <v>3</v>
      </c>
    </row>
    <row r="1459" spans="1:6" ht="39" customHeight="1" x14ac:dyDescent="0.2">
      <c r="A1459" s="80" t="s">
        <v>1060</v>
      </c>
      <c r="B1459" s="348" t="s">
        <v>923</v>
      </c>
      <c r="C1459" s="348"/>
      <c r="D1459" s="348"/>
      <c r="E1459" s="25" t="s">
        <v>10</v>
      </c>
      <c r="F1459" s="93">
        <v>48</v>
      </c>
    </row>
    <row r="1460" spans="1:6" ht="24" customHeight="1" x14ac:dyDescent="0.2">
      <c r="A1460" s="80" t="s">
        <v>1061</v>
      </c>
      <c r="B1460" s="348" t="s">
        <v>922</v>
      </c>
      <c r="C1460" s="348"/>
      <c r="D1460" s="348"/>
      <c r="E1460" s="25" t="s">
        <v>10</v>
      </c>
      <c r="F1460" s="93">
        <v>135</v>
      </c>
    </row>
    <row r="1461" spans="1:6" ht="26.1" customHeight="1" x14ac:dyDescent="0.2">
      <c r="A1461" s="80" t="s">
        <v>1062</v>
      </c>
      <c r="B1461" s="348" t="s">
        <v>663</v>
      </c>
      <c r="C1461" s="348"/>
      <c r="D1461" s="348"/>
      <c r="E1461" s="25" t="s">
        <v>33</v>
      </c>
      <c r="F1461" s="93">
        <v>22</v>
      </c>
    </row>
    <row r="1462" spans="1:6" ht="24" customHeight="1" x14ac:dyDescent="0.2">
      <c r="A1462" s="80" t="s">
        <v>1063</v>
      </c>
      <c r="B1462" s="348" t="s">
        <v>921</v>
      </c>
      <c r="C1462" s="348"/>
      <c r="D1462" s="348"/>
      <c r="E1462" s="25" t="s">
        <v>10</v>
      </c>
      <c r="F1462" s="93">
        <v>24</v>
      </c>
    </row>
    <row r="1463" spans="1:6" ht="24" customHeight="1" x14ac:dyDescent="0.2">
      <c r="A1463" s="80" t="s">
        <v>1064</v>
      </c>
      <c r="B1463" s="348" t="s">
        <v>920</v>
      </c>
      <c r="C1463" s="348"/>
      <c r="D1463" s="348"/>
      <c r="E1463" s="25" t="s">
        <v>16</v>
      </c>
      <c r="F1463" s="93">
        <v>15</v>
      </c>
    </row>
    <row r="1464" spans="1:6" ht="65.099999999999994" customHeight="1" x14ac:dyDescent="0.2">
      <c r="A1464" s="80" t="s">
        <v>1065</v>
      </c>
      <c r="B1464" s="348" t="s">
        <v>701</v>
      </c>
      <c r="C1464" s="348"/>
      <c r="D1464" s="348"/>
      <c r="E1464" s="25" t="s">
        <v>10</v>
      </c>
      <c r="F1464" s="93">
        <v>6</v>
      </c>
    </row>
    <row r="1465" spans="1:6" ht="39" customHeight="1" x14ac:dyDescent="0.2">
      <c r="A1465" s="80" t="s">
        <v>1066</v>
      </c>
      <c r="B1465" s="348" t="s">
        <v>919</v>
      </c>
      <c r="C1465" s="348"/>
      <c r="D1465" s="348"/>
      <c r="E1465" s="25" t="s">
        <v>33</v>
      </c>
      <c r="F1465" s="93">
        <v>9</v>
      </c>
    </row>
    <row r="1466" spans="1:6" ht="24" customHeight="1" x14ac:dyDescent="0.2">
      <c r="A1466" s="80" t="s">
        <v>1067</v>
      </c>
      <c r="B1466" s="427" t="s">
        <v>905</v>
      </c>
      <c r="C1466" s="428"/>
      <c r="D1466" s="429"/>
      <c r="E1466" s="25" t="s">
        <v>904</v>
      </c>
      <c r="F1466" s="93">
        <v>37</v>
      </c>
    </row>
    <row r="1467" spans="1:6" ht="24" customHeight="1" x14ac:dyDescent="0.2">
      <c r="A1467" s="57" t="s">
        <v>108</v>
      </c>
      <c r="B1467" s="388" t="s">
        <v>163</v>
      </c>
      <c r="C1467" s="388"/>
      <c r="D1467" s="388"/>
      <c r="E1467" s="6"/>
      <c r="F1467" s="58">
        <v>1</v>
      </c>
    </row>
    <row r="1468" spans="1:6" ht="24" customHeight="1" x14ac:dyDescent="0.2">
      <c r="A1468" s="81" t="s">
        <v>110</v>
      </c>
      <c r="B1468" s="349" t="s">
        <v>124</v>
      </c>
      <c r="C1468" s="349"/>
      <c r="D1468" s="349"/>
      <c r="E1468" s="54"/>
      <c r="F1468" s="132">
        <v>1</v>
      </c>
    </row>
    <row r="1469" spans="1:6" ht="26.1" customHeight="1" x14ac:dyDescent="0.2">
      <c r="A1469" s="80" t="s">
        <v>478</v>
      </c>
      <c r="B1469" s="348" t="s">
        <v>450</v>
      </c>
      <c r="C1469" s="348"/>
      <c r="D1469" s="348"/>
      <c r="E1469" s="25" t="s">
        <v>19</v>
      </c>
      <c r="F1469" s="93">
        <f>F1500</f>
        <v>11.18988</v>
      </c>
    </row>
    <row r="1470" spans="1:6" s="1" customFormat="1" ht="15" x14ac:dyDescent="0.2">
      <c r="A1470" s="19"/>
      <c r="B1470" s="50"/>
      <c r="C1470" s="50"/>
      <c r="D1470" s="50"/>
      <c r="E1470" s="50"/>
      <c r="F1470" s="20"/>
    </row>
    <row r="1471" spans="1:6" s="1" customFormat="1" ht="15" x14ac:dyDescent="0.2">
      <c r="A1471" s="21" t="s">
        <v>186</v>
      </c>
      <c r="B1471" s="2" t="s">
        <v>506</v>
      </c>
      <c r="C1471" s="2" t="s">
        <v>187</v>
      </c>
      <c r="D1471" s="2" t="s">
        <v>188</v>
      </c>
      <c r="E1471" s="2" t="s">
        <v>361</v>
      </c>
      <c r="F1471" s="28" t="s">
        <v>190</v>
      </c>
    </row>
    <row r="1472" spans="1:6" s="1" customFormat="1" ht="15" x14ac:dyDescent="0.2">
      <c r="A1472" s="443" t="s">
        <v>163</v>
      </c>
      <c r="B1472" s="3" t="s">
        <v>508</v>
      </c>
      <c r="C1472" s="3">
        <v>0.8</v>
      </c>
      <c r="D1472" s="3">
        <v>0.6</v>
      </c>
      <c r="E1472" s="5">
        <v>1.5</v>
      </c>
      <c r="F1472" s="29">
        <f>C1472*D1472*E1472</f>
        <v>0.72</v>
      </c>
    </row>
    <row r="1473" spans="1:6" s="1" customFormat="1" ht="15" x14ac:dyDescent="0.2">
      <c r="A1473" s="444"/>
      <c r="B1473" s="3" t="s">
        <v>509</v>
      </c>
      <c r="C1473" s="3">
        <v>0.8</v>
      </c>
      <c r="D1473" s="3">
        <v>0.6</v>
      </c>
      <c r="E1473" s="5">
        <v>1.5</v>
      </c>
      <c r="F1473" s="29">
        <f t="shared" ref="F1473:F1484" si="40">C1473*D1473*E1473</f>
        <v>0.72</v>
      </c>
    </row>
    <row r="1474" spans="1:6" s="1" customFormat="1" ht="15" x14ac:dyDescent="0.2">
      <c r="A1474" s="444"/>
      <c r="B1474" s="3" t="s">
        <v>510</v>
      </c>
      <c r="C1474" s="3">
        <v>0.8</v>
      </c>
      <c r="D1474" s="3">
        <v>0.6</v>
      </c>
      <c r="E1474" s="5">
        <v>1.5</v>
      </c>
      <c r="F1474" s="29">
        <f t="shared" si="40"/>
        <v>0.72</v>
      </c>
    </row>
    <row r="1475" spans="1:6" s="1" customFormat="1" ht="15" x14ac:dyDescent="0.2">
      <c r="A1475" s="444"/>
      <c r="B1475" s="3" t="s">
        <v>511</v>
      </c>
      <c r="C1475" s="3">
        <v>0.7</v>
      </c>
      <c r="D1475" s="3">
        <v>0.6</v>
      </c>
      <c r="E1475" s="5">
        <v>1.5</v>
      </c>
      <c r="F1475" s="29">
        <f t="shared" si="40"/>
        <v>0.63</v>
      </c>
    </row>
    <row r="1476" spans="1:6" s="1" customFormat="1" ht="15" x14ac:dyDescent="0.2">
      <c r="A1476" s="444"/>
      <c r="B1476" s="3" t="s">
        <v>520</v>
      </c>
      <c r="C1476" s="3">
        <v>0.8</v>
      </c>
      <c r="D1476" s="3">
        <v>0.6</v>
      </c>
      <c r="E1476" s="5">
        <v>1.5</v>
      </c>
      <c r="F1476" s="29">
        <f t="shared" si="40"/>
        <v>0.72</v>
      </c>
    </row>
    <row r="1477" spans="1:6" s="1" customFormat="1" ht="15" x14ac:dyDescent="0.2">
      <c r="A1477" s="444"/>
      <c r="B1477" s="3" t="s">
        <v>530</v>
      </c>
      <c r="C1477" s="3">
        <v>0.7</v>
      </c>
      <c r="D1477" s="3">
        <v>0.6</v>
      </c>
      <c r="E1477" s="5">
        <v>1.5</v>
      </c>
      <c r="F1477" s="29">
        <f t="shared" si="40"/>
        <v>0.63</v>
      </c>
    </row>
    <row r="1478" spans="1:6" s="1" customFormat="1" ht="15" x14ac:dyDescent="0.2">
      <c r="A1478" s="444"/>
      <c r="B1478" s="3" t="s">
        <v>531</v>
      </c>
      <c r="C1478" s="3">
        <v>0.8</v>
      </c>
      <c r="D1478" s="3">
        <v>0.6</v>
      </c>
      <c r="E1478" s="5">
        <v>1.5</v>
      </c>
      <c r="F1478" s="29">
        <f t="shared" si="40"/>
        <v>0.72</v>
      </c>
    </row>
    <row r="1479" spans="1:6" s="1" customFormat="1" ht="15" x14ac:dyDescent="0.2">
      <c r="A1479" s="444"/>
      <c r="B1479" s="3" t="s">
        <v>532</v>
      </c>
      <c r="C1479" s="3">
        <v>0.7</v>
      </c>
      <c r="D1479" s="3">
        <v>0.6</v>
      </c>
      <c r="E1479" s="5">
        <v>1.5</v>
      </c>
      <c r="F1479" s="29">
        <f t="shared" si="40"/>
        <v>0.63</v>
      </c>
    </row>
    <row r="1480" spans="1:6" s="1" customFormat="1" ht="15" x14ac:dyDescent="0.2">
      <c r="A1480" s="444"/>
      <c r="B1480" s="3" t="s">
        <v>512</v>
      </c>
      <c r="C1480" s="3">
        <v>0.8</v>
      </c>
      <c r="D1480" s="3">
        <v>0.6</v>
      </c>
      <c r="E1480" s="5">
        <v>1.5</v>
      </c>
      <c r="F1480" s="29">
        <f t="shared" si="40"/>
        <v>0.72</v>
      </c>
    </row>
    <row r="1481" spans="1:6" s="1" customFormat="1" ht="15" x14ac:dyDescent="0.2">
      <c r="A1481" s="444"/>
      <c r="B1481" s="3" t="s">
        <v>513</v>
      </c>
      <c r="C1481" s="3">
        <v>0.8</v>
      </c>
      <c r="D1481" s="3">
        <v>0.6</v>
      </c>
      <c r="E1481" s="5">
        <v>1.5</v>
      </c>
      <c r="F1481" s="29">
        <f t="shared" si="40"/>
        <v>0.72</v>
      </c>
    </row>
    <row r="1482" spans="1:6" s="1" customFormat="1" ht="15" x14ac:dyDescent="0.2">
      <c r="A1482" s="444"/>
      <c r="B1482" s="3" t="s">
        <v>514</v>
      </c>
      <c r="C1482" s="3">
        <v>0.8</v>
      </c>
      <c r="D1482" s="3">
        <v>0.6</v>
      </c>
      <c r="E1482" s="5">
        <v>1.5</v>
      </c>
      <c r="F1482" s="29">
        <f t="shared" si="40"/>
        <v>0.72</v>
      </c>
    </row>
    <row r="1483" spans="1:6" s="1" customFormat="1" ht="15" x14ac:dyDescent="0.2">
      <c r="A1483" s="444"/>
      <c r="B1483" s="3" t="s">
        <v>515</v>
      </c>
      <c r="C1483" s="3">
        <v>0.7</v>
      </c>
      <c r="D1483" s="3">
        <v>0.6</v>
      </c>
      <c r="E1483" s="5">
        <v>1.5</v>
      </c>
      <c r="F1483" s="29">
        <f t="shared" si="40"/>
        <v>0.63</v>
      </c>
    </row>
    <row r="1484" spans="1:6" s="1" customFormat="1" ht="15" x14ac:dyDescent="0.2">
      <c r="A1484" s="444"/>
      <c r="B1484" s="3" t="s">
        <v>516</v>
      </c>
      <c r="C1484" s="3">
        <v>0.8</v>
      </c>
      <c r="D1484" s="3">
        <v>0.6</v>
      </c>
      <c r="E1484" s="5">
        <v>1.5</v>
      </c>
      <c r="F1484" s="29">
        <f t="shared" si="40"/>
        <v>0.72</v>
      </c>
    </row>
    <row r="1485" spans="1:6" s="1" customFormat="1" ht="15" x14ac:dyDescent="0.2">
      <c r="A1485" s="30"/>
      <c r="B1485" s="3" t="s">
        <v>517</v>
      </c>
      <c r="C1485" s="3">
        <v>0.8</v>
      </c>
      <c r="D1485" s="3">
        <v>0.6</v>
      </c>
      <c r="E1485" s="5">
        <v>1.5</v>
      </c>
      <c r="F1485" s="29">
        <f t="shared" ref="F1485:F1488" si="41">C1485*D1485*E1485</f>
        <v>0.72</v>
      </c>
    </row>
    <row r="1486" spans="1:6" s="1" customFormat="1" ht="15" x14ac:dyDescent="0.2">
      <c r="A1486" s="30"/>
      <c r="B1486" s="3" t="s">
        <v>533</v>
      </c>
      <c r="C1486" s="3">
        <v>0.6</v>
      </c>
      <c r="D1486" s="3">
        <v>0.7</v>
      </c>
      <c r="E1486" s="5">
        <v>1.5</v>
      </c>
      <c r="F1486" s="29">
        <f t="shared" si="41"/>
        <v>0.63</v>
      </c>
    </row>
    <row r="1487" spans="1:6" s="1" customFormat="1" ht="15" x14ac:dyDescent="0.2">
      <c r="A1487" s="30"/>
      <c r="B1487" s="3" t="s">
        <v>518</v>
      </c>
      <c r="C1487" s="3">
        <v>0.7</v>
      </c>
      <c r="D1487" s="3">
        <v>0.6</v>
      </c>
      <c r="E1487" s="5">
        <v>1.5</v>
      </c>
      <c r="F1487" s="29">
        <f t="shared" si="41"/>
        <v>0.63</v>
      </c>
    </row>
    <row r="1488" spans="1:6" s="1" customFormat="1" ht="15" x14ac:dyDescent="0.2">
      <c r="A1488" s="30"/>
      <c r="B1488" s="3" t="s">
        <v>519</v>
      </c>
      <c r="C1488" s="3">
        <v>0.7</v>
      </c>
      <c r="D1488" s="3">
        <v>0.6</v>
      </c>
      <c r="E1488" s="5">
        <v>1.5</v>
      </c>
      <c r="F1488" s="29">
        <f t="shared" si="41"/>
        <v>0.63</v>
      </c>
    </row>
    <row r="1489" spans="1:6" s="1" customFormat="1" ht="14.25" customHeight="1" x14ac:dyDescent="0.2">
      <c r="A1489" s="355" t="s">
        <v>240</v>
      </c>
      <c r="B1489" s="350"/>
      <c r="C1489" s="350"/>
      <c r="D1489" s="350"/>
      <c r="E1489" s="350"/>
      <c r="F1489" s="31">
        <f>SUM(F1472:F1484)</f>
        <v>9</v>
      </c>
    </row>
    <row r="1490" spans="1:6" s="1" customFormat="1" ht="15" x14ac:dyDescent="0.2">
      <c r="A1490" s="21" t="s">
        <v>186</v>
      </c>
      <c r="B1490" s="2" t="s">
        <v>521</v>
      </c>
      <c r="C1490" s="2" t="s">
        <v>187</v>
      </c>
      <c r="D1490" s="2" t="s">
        <v>188</v>
      </c>
      <c r="E1490" s="2" t="s">
        <v>189</v>
      </c>
      <c r="F1490" s="28" t="s">
        <v>190</v>
      </c>
    </row>
    <row r="1491" spans="1:6" s="1" customFormat="1" ht="15" customHeight="1" x14ac:dyDescent="0.2">
      <c r="A1491" s="443" t="s">
        <v>163</v>
      </c>
      <c r="B1491" s="3" t="s">
        <v>522</v>
      </c>
      <c r="C1491" s="3">
        <v>9.82</v>
      </c>
      <c r="D1491" s="3">
        <v>0.14000000000000001</v>
      </c>
      <c r="E1491" s="5">
        <v>0.3</v>
      </c>
      <c r="F1491" s="29">
        <f>C1491*D1491*E1491</f>
        <v>0.41244000000000008</v>
      </c>
    </row>
    <row r="1492" spans="1:6" s="1" customFormat="1" ht="15" x14ac:dyDescent="0.2">
      <c r="A1492" s="444"/>
      <c r="B1492" s="3" t="s">
        <v>523</v>
      </c>
      <c r="C1492" s="3">
        <v>5.88</v>
      </c>
      <c r="D1492" s="3">
        <v>0.14000000000000001</v>
      </c>
      <c r="E1492" s="5">
        <v>0.3</v>
      </c>
      <c r="F1492" s="29">
        <f t="shared" ref="F1492:F1497" si="42">C1492*D1492*E1492</f>
        <v>0.24696000000000001</v>
      </c>
    </row>
    <row r="1493" spans="1:6" s="1" customFormat="1" ht="15" x14ac:dyDescent="0.2">
      <c r="A1493" s="444"/>
      <c r="B1493" s="3" t="s">
        <v>524</v>
      </c>
      <c r="C1493" s="3">
        <v>0.9</v>
      </c>
      <c r="D1493" s="3">
        <v>0.14000000000000001</v>
      </c>
      <c r="E1493" s="5">
        <v>0.3</v>
      </c>
      <c r="F1493" s="29">
        <f t="shared" si="42"/>
        <v>3.7800000000000007E-2</v>
      </c>
    </row>
    <row r="1494" spans="1:6" s="1" customFormat="1" ht="15" x14ac:dyDescent="0.2">
      <c r="A1494" s="444"/>
      <c r="B1494" s="3" t="s">
        <v>525</v>
      </c>
      <c r="C1494" s="3">
        <f>13.11+2.85</f>
        <v>15.959999999999999</v>
      </c>
      <c r="D1494" s="3">
        <v>0.14000000000000001</v>
      </c>
      <c r="E1494" s="5">
        <v>0.3</v>
      </c>
      <c r="F1494" s="29">
        <f t="shared" si="42"/>
        <v>0.67031999999999992</v>
      </c>
    </row>
    <row r="1495" spans="1:6" s="1" customFormat="1" ht="15" x14ac:dyDescent="0.2">
      <c r="A1495" s="444"/>
      <c r="B1495" s="3" t="s">
        <v>526</v>
      </c>
      <c r="C1495" s="3">
        <f>2.63+2.2</f>
        <v>4.83</v>
      </c>
      <c r="D1495" s="3">
        <v>0.14000000000000001</v>
      </c>
      <c r="E1495" s="5">
        <v>0.3</v>
      </c>
      <c r="F1495" s="29">
        <f t="shared" si="42"/>
        <v>0.20286000000000001</v>
      </c>
    </row>
    <row r="1496" spans="1:6" s="1" customFormat="1" ht="15" x14ac:dyDescent="0.2">
      <c r="A1496" s="444"/>
      <c r="B1496" s="3" t="s">
        <v>527</v>
      </c>
      <c r="C1496" s="3">
        <f>2.94+2.5+2.88</f>
        <v>8.32</v>
      </c>
      <c r="D1496" s="3">
        <v>0.14000000000000001</v>
      </c>
      <c r="E1496" s="5">
        <v>0.3</v>
      </c>
      <c r="F1496" s="29">
        <f t="shared" si="42"/>
        <v>0.34944000000000003</v>
      </c>
    </row>
    <row r="1497" spans="1:6" s="1" customFormat="1" ht="15" x14ac:dyDescent="0.2">
      <c r="A1497" s="444"/>
      <c r="B1497" s="3" t="s">
        <v>528</v>
      </c>
      <c r="C1497" s="3">
        <v>6.43</v>
      </c>
      <c r="D1497" s="3">
        <v>0.14000000000000001</v>
      </c>
      <c r="E1497" s="5">
        <v>0.3</v>
      </c>
      <c r="F1497" s="29">
        <f t="shared" si="42"/>
        <v>0.27005999999999997</v>
      </c>
    </row>
    <row r="1498" spans="1:6" s="1" customFormat="1" ht="14.25" customHeight="1" x14ac:dyDescent="0.2">
      <c r="A1498" s="355" t="s">
        <v>240</v>
      </c>
      <c r="B1498" s="350"/>
      <c r="C1498" s="350"/>
      <c r="D1498" s="350"/>
      <c r="E1498" s="350"/>
      <c r="F1498" s="31">
        <f>SUM(F1491:F1497)</f>
        <v>2.18988</v>
      </c>
    </row>
    <row r="1499" spans="1:6" s="1" customFormat="1" ht="15" x14ac:dyDescent="0.2">
      <c r="A1499" s="19"/>
      <c r="B1499" s="50"/>
      <c r="C1499" s="50"/>
      <c r="D1499" s="50"/>
      <c r="E1499" s="50"/>
      <c r="F1499" s="20"/>
    </row>
    <row r="1500" spans="1:6" s="1" customFormat="1" ht="15" x14ac:dyDescent="0.2">
      <c r="A1500" s="355" t="s">
        <v>529</v>
      </c>
      <c r="B1500" s="350"/>
      <c r="C1500" s="350"/>
      <c r="D1500" s="350"/>
      <c r="E1500" s="350"/>
      <c r="F1500" s="32">
        <f>F1489+F1498</f>
        <v>11.18988</v>
      </c>
    </row>
    <row r="1501" spans="1:6" s="1" customFormat="1" ht="15" x14ac:dyDescent="0.2">
      <c r="A1501" s="19"/>
      <c r="B1501" s="50"/>
      <c r="C1501" s="50"/>
      <c r="D1501" s="50"/>
      <c r="E1501" s="50"/>
      <c r="F1501" s="20"/>
    </row>
    <row r="1502" spans="1:6" ht="24" customHeight="1" x14ac:dyDescent="0.2">
      <c r="A1502" s="80" t="s">
        <v>479</v>
      </c>
      <c r="B1502" s="348" t="s">
        <v>451</v>
      </c>
      <c r="C1502" s="348"/>
      <c r="D1502" s="348"/>
      <c r="E1502" s="25" t="s">
        <v>19</v>
      </c>
      <c r="F1502" s="93">
        <f>F1533</f>
        <v>11.18988</v>
      </c>
    </row>
    <row r="1503" spans="1:6" s="1" customFormat="1" ht="15" x14ac:dyDescent="0.2">
      <c r="A1503" s="19"/>
      <c r="B1503" s="50"/>
      <c r="C1503" s="50"/>
      <c r="D1503" s="50"/>
      <c r="E1503" s="50"/>
      <c r="F1503" s="20"/>
    </row>
    <row r="1504" spans="1:6" s="1" customFormat="1" ht="15" x14ac:dyDescent="0.2">
      <c r="A1504" s="21" t="s">
        <v>186</v>
      </c>
      <c r="B1504" s="2" t="s">
        <v>506</v>
      </c>
      <c r="C1504" s="2" t="s">
        <v>187</v>
      </c>
      <c r="D1504" s="2" t="s">
        <v>188</v>
      </c>
      <c r="E1504" s="2" t="s">
        <v>361</v>
      </c>
      <c r="F1504" s="28" t="s">
        <v>190</v>
      </c>
    </row>
    <row r="1505" spans="1:6" s="1" customFormat="1" ht="15" x14ac:dyDescent="0.2">
      <c r="A1505" s="443" t="s">
        <v>163</v>
      </c>
      <c r="B1505" s="3" t="s">
        <v>508</v>
      </c>
      <c r="C1505" s="3">
        <v>0.8</v>
      </c>
      <c r="D1505" s="3">
        <v>0.6</v>
      </c>
      <c r="E1505" s="5">
        <v>1.5</v>
      </c>
      <c r="F1505" s="29">
        <f>C1505*D1505*E1505</f>
        <v>0.72</v>
      </c>
    </row>
    <row r="1506" spans="1:6" s="1" customFormat="1" ht="15" x14ac:dyDescent="0.2">
      <c r="A1506" s="444"/>
      <c r="B1506" s="3" t="s">
        <v>509</v>
      </c>
      <c r="C1506" s="3">
        <v>0.8</v>
      </c>
      <c r="D1506" s="3">
        <v>0.6</v>
      </c>
      <c r="E1506" s="5">
        <v>1.5</v>
      </c>
      <c r="F1506" s="29">
        <f t="shared" ref="F1506:F1521" si="43">C1506*D1506*E1506</f>
        <v>0.72</v>
      </c>
    </row>
    <row r="1507" spans="1:6" s="1" customFormat="1" ht="15" x14ac:dyDescent="0.2">
      <c r="A1507" s="444"/>
      <c r="B1507" s="3" t="s">
        <v>510</v>
      </c>
      <c r="C1507" s="3">
        <v>0.8</v>
      </c>
      <c r="D1507" s="3">
        <v>0.6</v>
      </c>
      <c r="E1507" s="5">
        <v>1.5</v>
      </c>
      <c r="F1507" s="29">
        <f t="shared" si="43"/>
        <v>0.72</v>
      </c>
    </row>
    <row r="1508" spans="1:6" s="1" customFormat="1" ht="15" x14ac:dyDescent="0.2">
      <c r="A1508" s="444"/>
      <c r="B1508" s="3" t="s">
        <v>511</v>
      </c>
      <c r="C1508" s="3">
        <v>0.7</v>
      </c>
      <c r="D1508" s="3">
        <v>0.6</v>
      </c>
      <c r="E1508" s="5">
        <v>1.5</v>
      </c>
      <c r="F1508" s="29">
        <f t="shared" si="43"/>
        <v>0.63</v>
      </c>
    </row>
    <row r="1509" spans="1:6" s="1" customFormat="1" ht="15" x14ac:dyDescent="0.2">
      <c r="A1509" s="444"/>
      <c r="B1509" s="3" t="s">
        <v>520</v>
      </c>
      <c r="C1509" s="3">
        <v>0.8</v>
      </c>
      <c r="D1509" s="3">
        <v>0.6</v>
      </c>
      <c r="E1509" s="5">
        <v>1.5</v>
      </c>
      <c r="F1509" s="29">
        <f t="shared" si="43"/>
        <v>0.72</v>
      </c>
    </row>
    <row r="1510" spans="1:6" s="1" customFormat="1" ht="15" x14ac:dyDescent="0.2">
      <c r="A1510" s="444"/>
      <c r="B1510" s="3" t="s">
        <v>530</v>
      </c>
      <c r="C1510" s="3">
        <v>0.7</v>
      </c>
      <c r="D1510" s="3">
        <v>0.6</v>
      </c>
      <c r="E1510" s="5">
        <v>1.5</v>
      </c>
      <c r="F1510" s="29">
        <f t="shared" si="43"/>
        <v>0.63</v>
      </c>
    </row>
    <row r="1511" spans="1:6" s="1" customFormat="1" ht="15" x14ac:dyDescent="0.2">
      <c r="A1511" s="444"/>
      <c r="B1511" s="3" t="s">
        <v>531</v>
      </c>
      <c r="C1511" s="3">
        <v>0.8</v>
      </c>
      <c r="D1511" s="3">
        <v>0.6</v>
      </c>
      <c r="E1511" s="5">
        <v>1.5</v>
      </c>
      <c r="F1511" s="29">
        <f t="shared" si="43"/>
        <v>0.72</v>
      </c>
    </row>
    <row r="1512" spans="1:6" s="1" customFormat="1" ht="15" x14ac:dyDescent="0.2">
      <c r="A1512" s="444"/>
      <c r="B1512" s="3" t="s">
        <v>532</v>
      </c>
      <c r="C1512" s="3">
        <v>0.7</v>
      </c>
      <c r="D1512" s="3">
        <v>0.6</v>
      </c>
      <c r="E1512" s="5">
        <v>1.5</v>
      </c>
      <c r="F1512" s="29">
        <f t="shared" si="43"/>
        <v>0.63</v>
      </c>
    </row>
    <row r="1513" spans="1:6" s="1" customFormat="1" ht="15" x14ac:dyDescent="0.2">
      <c r="A1513" s="444"/>
      <c r="B1513" s="3" t="s">
        <v>512</v>
      </c>
      <c r="C1513" s="3">
        <v>0.8</v>
      </c>
      <c r="D1513" s="3">
        <v>0.6</v>
      </c>
      <c r="E1513" s="5">
        <v>1.5</v>
      </c>
      <c r="F1513" s="29">
        <f t="shared" si="43"/>
        <v>0.72</v>
      </c>
    </row>
    <row r="1514" spans="1:6" s="1" customFormat="1" ht="15" x14ac:dyDescent="0.2">
      <c r="A1514" s="444"/>
      <c r="B1514" s="3" t="s">
        <v>513</v>
      </c>
      <c r="C1514" s="3">
        <v>0.8</v>
      </c>
      <c r="D1514" s="3">
        <v>0.6</v>
      </c>
      <c r="E1514" s="5">
        <v>1.5</v>
      </c>
      <c r="F1514" s="29">
        <f t="shared" si="43"/>
        <v>0.72</v>
      </c>
    </row>
    <row r="1515" spans="1:6" s="1" customFormat="1" ht="15" x14ac:dyDescent="0.2">
      <c r="A1515" s="444"/>
      <c r="B1515" s="3" t="s">
        <v>514</v>
      </c>
      <c r="C1515" s="3">
        <v>0.8</v>
      </c>
      <c r="D1515" s="3">
        <v>0.6</v>
      </c>
      <c r="E1515" s="5">
        <v>1.5</v>
      </c>
      <c r="F1515" s="29">
        <f t="shared" si="43"/>
        <v>0.72</v>
      </c>
    </row>
    <row r="1516" spans="1:6" s="1" customFormat="1" ht="15" x14ac:dyDescent="0.2">
      <c r="A1516" s="444"/>
      <c r="B1516" s="3" t="s">
        <v>515</v>
      </c>
      <c r="C1516" s="3">
        <v>0.7</v>
      </c>
      <c r="D1516" s="3">
        <v>0.6</v>
      </c>
      <c r="E1516" s="5">
        <v>1.5</v>
      </c>
      <c r="F1516" s="29">
        <f t="shared" si="43"/>
        <v>0.63</v>
      </c>
    </row>
    <row r="1517" spans="1:6" s="1" customFormat="1" ht="15" x14ac:dyDescent="0.2">
      <c r="A1517" s="444"/>
      <c r="B1517" s="3" t="s">
        <v>516</v>
      </c>
      <c r="C1517" s="3">
        <v>0.8</v>
      </c>
      <c r="D1517" s="3">
        <v>0.6</v>
      </c>
      <c r="E1517" s="5">
        <v>1.5</v>
      </c>
      <c r="F1517" s="29">
        <f t="shared" si="43"/>
        <v>0.72</v>
      </c>
    </row>
    <row r="1518" spans="1:6" s="1" customFormat="1" ht="15" x14ac:dyDescent="0.2">
      <c r="A1518" s="30"/>
      <c r="B1518" s="3" t="s">
        <v>517</v>
      </c>
      <c r="C1518" s="3">
        <v>0.8</v>
      </c>
      <c r="D1518" s="3">
        <v>0.6</v>
      </c>
      <c r="E1518" s="5">
        <v>1.5</v>
      </c>
      <c r="F1518" s="29">
        <f t="shared" si="43"/>
        <v>0.72</v>
      </c>
    </row>
    <row r="1519" spans="1:6" s="1" customFormat="1" ht="15" x14ac:dyDescent="0.2">
      <c r="A1519" s="30"/>
      <c r="B1519" s="3" t="s">
        <v>533</v>
      </c>
      <c r="C1519" s="3">
        <v>0.6</v>
      </c>
      <c r="D1519" s="3">
        <v>0.7</v>
      </c>
      <c r="E1519" s="5">
        <v>1.5</v>
      </c>
      <c r="F1519" s="29">
        <f t="shared" si="43"/>
        <v>0.63</v>
      </c>
    </row>
    <row r="1520" spans="1:6" s="1" customFormat="1" ht="15" x14ac:dyDescent="0.2">
      <c r="A1520" s="30"/>
      <c r="B1520" s="3" t="s">
        <v>518</v>
      </c>
      <c r="C1520" s="3">
        <v>0.7</v>
      </c>
      <c r="D1520" s="3">
        <v>0.6</v>
      </c>
      <c r="E1520" s="5">
        <v>1.5</v>
      </c>
      <c r="F1520" s="29">
        <f t="shared" si="43"/>
        <v>0.63</v>
      </c>
    </row>
    <row r="1521" spans="1:6" s="1" customFormat="1" ht="15" x14ac:dyDescent="0.2">
      <c r="A1521" s="30"/>
      <c r="B1521" s="3" t="s">
        <v>519</v>
      </c>
      <c r="C1521" s="3">
        <v>0.7</v>
      </c>
      <c r="D1521" s="3">
        <v>0.6</v>
      </c>
      <c r="E1521" s="5">
        <v>1.5</v>
      </c>
      <c r="F1521" s="29">
        <f t="shared" si="43"/>
        <v>0.63</v>
      </c>
    </row>
    <row r="1522" spans="1:6" s="1" customFormat="1" ht="14.25" customHeight="1" x14ac:dyDescent="0.2">
      <c r="A1522" s="355" t="s">
        <v>240</v>
      </c>
      <c r="B1522" s="350"/>
      <c r="C1522" s="350"/>
      <c r="D1522" s="350"/>
      <c r="E1522" s="350"/>
      <c r="F1522" s="31">
        <f>SUM(F1505:F1517)</f>
        <v>9</v>
      </c>
    </row>
    <row r="1523" spans="1:6" s="1" customFormat="1" ht="15" x14ac:dyDescent="0.2">
      <c r="A1523" s="21" t="s">
        <v>186</v>
      </c>
      <c r="B1523" s="2" t="s">
        <v>521</v>
      </c>
      <c r="C1523" s="2" t="s">
        <v>187</v>
      </c>
      <c r="D1523" s="2" t="s">
        <v>188</v>
      </c>
      <c r="E1523" s="2" t="s">
        <v>189</v>
      </c>
      <c r="F1523" s="28" t="s">
        <v>190</v>
      </c>
    </row>
    <row r="1524" spans="1:6" s="1" customFormat="1" ht="15" customHeight="1" x14ac:dyDescent="0.2">
      <c r="A1524" s="443" t="s">
        <v>163</v>
      </c>
      <c r="B1524" s="3" t="s">
        <v>522</v>
      </c>
      <c r="C1524" s="3">
        <v>9.82</v>
      </c>
      <c r="D1524" s="3">
        <v>0.14000000000000001</v>
      </c>
      <c r="E1524" s="5">
        <v>0.3</v>
      </c>
      <c r="F1524" s="29">
        <f>C1524*D1524*E1524</f>
        <v>0.41244000000000008</v>
      </c>
    </row>
    <row r="1525" spans="1:6" s="1" customFormat="1" ht="15" x14ac:dyDescent="0.2">
      <c r="A1525" s="444"/>
      <c r="B1525" s="3" t="s">
        <v>523</v>
      </c>
      <c r="C1525" s="3">
        <v>5.88</v>
      </c>
      <c r="D1525" s="3">
        <v>0.14000000000000001</v>
      </c>
      <c r="E1525" s="5">
        <v>0.3</v>
      </c>
      <c r="F1525" s="29">
        <f t="shared" ref="F1525:F1530" si="44">C1525*D1525*E1525</f>
        <v>0.24696000000000001</v>
      </c>
    </row>
    <row r="1526" spans="1:6" s="1" customFormat="1" ht="15" x14ac:dyDescent="0.2">
      <c r="A1526" s="444"/>
      <c r="B1526" s="3" t="s">
        <v>524</v>
      </c>
      <c r="C1526" s="3">
        <v>0.9</v>
      </c>
      <c r="D1526" s="3">
        <v>0.14000000000000001</v>
      </c>
      <c r="E1526" s="5">
        <v>0.3</v>
      </c>
      <c r="F1526" s="29">
        <f t="shared" si="44"/>
        <v>3.7800000000000007E-2</v>
      </c>
    </row>
    <row r="1527" spans="1:6" s="1" customFormat="1" ht="15" x14ac:dyDescent="0.2">
      <c r="A1527" s="444"/>
      <c r="B1527" s="3" t="s">
        <v>525</v>
      </c>
      <c r="C1527" s="3">
        <f>13.11+2.85</f>
        <v>15.959999999999999</v>
      </c>
      <c r="D1527" s="3">
        <v>0.14000000000000001</v>
      </c>
      <c r="E1527" s="5">
        <v>0.3</v>
      </c>
      <c r="F1527" s="29">
        <f t="shared" si="44"/>
        <v>0.67031999999999992</v>
      </c>
    </row>
    <row r="1528" spans="1:6" s="1" customFormat="1" ht="15" x14ac:dyDescent="0.2">
      <c r="A1528" s="444"/>
      <c r="B1528" s="3" t="s">
        <v>526</v>
      </c>
      <c r="C1528" s="3">
        <f>2.63+2.2</f>
        <v>4.83</v>
      </c>
      <c r="D1528" s="3">
        <v>0.14000000000000001</v>
      </c>
      <c r="E1528" s="5">
        <v>0.3</v>
      </c>
      <c r="F1528" s="29">
        <f t="shared" si="44"/>
        <v>0.20286000000000001</v>
      </c>
    </row>
    <row r="1529" spans="1:6" s="1" customFormat="1" ht="15" x14ac:dyDescent="0.2">
      <c r="A1529" s="444"/>
      <c r="B1529" s="3" t="s">
        <v>527</v>
      </c>
      <c r="C1529" s="3">
        <f>2.94+2.5+2.88</f>
        <v>8.32</v>
      </c>
      <c r="D1529" s="3">
        <v>0.14000000000000001</v>
      </c>
      <c r="E1529" s="5">
        <v>0.3</v>
      </c>
      <c r="F1529" s="29">
        <f t="shared" si="44"/>
        <v>0.34944000000000003</v>
      </c>
    </row>
    <row r="1530" spans="1:6" s="1" customFormat="1" ht="15" x14ac:dyDescent="0.2">
      <c r="A1530" s="444"/>
      <c r="B1530" s="3" t="s">
        <v>528</v>
      </c>
      <c r="C1530" s="3">
        <v>6.43</v>
      </c>
      <c r="D1530" s="3">
        <v>0.14000000000000001</v>
      </c>
      <c r="E1530" s="5">
        <v>0.3</v>
      </c>
      <c r="F1530" s="29">
        <f t="shared" si="44"/>
        <v>0.27005999999999997</v>
      </c>
    </row>
    <row r="1531" spans="1:6" s="1" customFormat="1" ht="14.25" customHeight="1" x14ac:dyDescent="0.2">
      <c r="A1531" s="355" t="s">
        <v>240</v>
      </c>
      <c r="B1531" s="350"/>
      <c r="C1531" s="350"/>
      <c r="D1531" s="350"/>
      <c r="E1531" s="350"/>
      <c r="F1531" s="31">
        <f>SUM(F1524:F1530)</f>
        <v>2.18988</v>
      </c>
    </row>
    <row r="1532" spans="1:6" s="1" customFormat="1" ht="15" x14ac:dyDescent="0.2">
      <c r="A1532" s="19"/>
      <c r="B1532" s="50"/>
      <c r="C1532" s="50"/>
      <c r="D1532" s="50"/>
      <c r="E1532" s="50"/>
      <c r="F1532" s="20"/>
    </row>
    <row r="1533" spans="1:6" s="1" customFormat="1" ht="15" x14ac:dyDescent="0.2">
      <c r="A1533" s="355" t="s">
        <v>529</v>
      </c>
      <c r="B1533" s="350"/>
      <c r="C1533" s="350"/>
      <c r="D1533" s="350"/>
      <c r="E1533" s="350"/>
      <c r="F1533" s="32">
        <f>F1522+F1531</f>
        <v>11.18988</v>
      </c>
    </row>
    <row r="1534" spans="1:6" s="1" customFormat="1" ht="15" x14ac:dyDescent="0.2">
      <c r="A1534" s="19"/>
      <c r="B1534" s="50"/>
      <c r="C1534" s="50"/>
      <c r="D1534" s="50"/>
      <c r="E1534" s="50"/>
      <c r="F1534" s="20"/>
    </row>
    <row r="1535" spans="1:6" ht="24" customHeight="1" x14ac:dyDescent="0.2">
      <c r="A1535" s="80" t="s">
        <v>480</v>
      </c>
      <c r="B1535" s="348" t="s">
        <v>57</v>
      </c>
      <c r="C1535" s="348"/>
      <c r="D1535" s="348"/>
      <c r="E1535" s="25" t="s">
        <v>13</v>
      </c>
      <c r="F1535" s="93">
        <f>E1566</f>
        <v>15.0396</v>
      </c>
    </row>
    <row r="1536" spans="1:6" s="1" customFormat="1" ht="15" x14ac:dyDescent="0.2">
      <c r="A1536" s="19"/>
      <c r="B1536" s="50"/>
      <c r="C1536" s="50"/>
      <c r="D1536" s="50"/>
      <c r="E1536" s="50"/>
      <c r="F1536" s="20"/>
    </row>
    <row r="1537" spans="1:6" s="1" customFormat="1" ht="15" x14ac:dyDescent="0.2">
      <c r="A1537" s="21" t="s">
        <v>186</v>
      </c>
      <c r="B1537" s="2" t="s">
        <v>506</v>
      </c>
      <c r="C1537" s="2" t="s">
        <v>187</v>
      </c>
      <c r="D1537" s="2" t="s">
        <v>188</v>
      </c>
      <c r="E1537" s="2" t="s">
        <v>194</v>
      </c>
      <c r="F1537" s="33"/>
    </row>
    <row r="1538" spans="1:6" s="1" customFormat="1" ht="15" customHeight="1" x14ac:dyDescent="0.2">
      <c r="A1538" s="443" t="s">
        <v>163</v>
      </c>
      <c r="B1538" s="3" t="s">
        <v>508</v>
      </c>
      <c r="C1538" s="3">
        <v>0.8</v>
      </c>
      <c r="D1538" s="3">
        <v>0.6</v>
      </c>
      <c r="E1538" s="5">
        <f>C1538*D1538</f>
        <v>0.48</v>
      </c>
      <c r="F1538" s="34"/>
    </row>
    <row r="1539" spans="1:6" s="1" customFormat="1" ht="15" x14ac:dyDescent="0.2">
      <c r="A1539" s="444"/>
      <c r="B1539" s="3" t="s">
        <v>509</v>
      </c>
      <c r="C1539" s="3">
        <v>0.8</v>
      </c>
      <c r="D1539" s="3">
        <v>0.6</v>
      </c>
      <c r="E1539" s="5">
        <f t="shared" ref="E1539:E1554" si="45">C1539*D1539</f>
        <v>0.48</v>
      </c>
      <c r="F1539" s="34"/>
    </row>
    <row r="1540" spans="1:6" s="1" customFormat="1" ht="15" x14ac:dyDescent="0.2">
      <c r="A1540" s="444"/>
      <c r="B1540" s="3" t="s">
        <v>510</v>
      </c>
      <c r="C1540" s="3">
        <v>0.8</v>
      </c>
      <c r="D1540" s="3">
        <v>0.6</v>
      </c>
      <c r="E1540" s="5">
        <f t="shared" si="45"/>
        <v>0.48</v>
      </c>
      <c r="F1540" s="34"/>
    </row>
    <row r="1541" spans="1:6" s="1" customFormat="1" ht="15" x14ac:dyDescent="0.2">
      <c r="A1541" s="444"/>
      <c r="B1541" s="3" t="s">
        <v>511</v>
      </c>
      <c r="C1541" s="3">
        <v>0.7</v>
      </c>
      <c r="D1541" s="3">
        <v>0.6</v>
      </c>
      <c r="E1541" s="5">
        <f t="shared" si="45"/>
        <v>0.42</v>
      </c>
      <c r="F1541" s="34"/>
    </row>
    <row r="1542" spans="1:6" s="1" customFormat="1" ht="15" x14ac:dyDescent="0.2">
      <c r="A1542" s="444"/>
      <c r="B1542" s="3" t="s">
        <v>520</v>
      </c>
      <c r="C1542" s="3">
        <v>0.8</v>
      </c>
      <c r="D1542" s="3">
        <v>0.6</v>
      </c>
      <c r="E1542" s="5">
        <f t="shared" si="45"/>
        <v>0.48</v>
      </c>
      <c r="F1542" s="34"/>
    </row>
    <row r="1543" spans="1:6" s="1" customFormat="1" ht="15" x14ac:dyDescent="0.2">
      <c r="A1543" s="444"/>
      <c r="B1543" s="3" t="s">
        <v>530</v>
      </c>
      <c r="C1543" s="3">
        <v>0.7</v>
      </c>
      <c r="D1543" s="3">
        <v>0.6</v>
      </c>
      <c r="E1543" s="5">
        <f t="shared" si="45"/>
        <v>0.42</v>
      </c>
      <c r="F1543" s="34"/>
    </row>
    <row r="1544" spans="1:6" s="1" customFormat="1" ht="15" x14ac:dyDescent="0.2">
      <c r="A1544" s="444"/>
      <c r="B1544" s="3" t="s">
        <v>531</v>
      </c>
      <c r="C1544" s="3">
        <v>0.8</v>
      </c>
      <c r="D1544" s="3">
        <v>0.6</v>
      </c>
      <c r="E1544" s="5">
        <f t="shared" si="45"/>
        <v>0.48</v>
      </c>
      <c r="F1544" s="34"/>
    </row>
    <row r="1545" spans="1:6" s="1" customFormat="1" ht="15" x14ac:dyDescent="0.2">
      <c r="A1545" s="444"/>
      <c r="B1545" s="3" t="s">
        <v>532</v>
      </c>
      <c r="C1545" s="3">
        <v>0.7</v>
      </c>
      <c r="D1545" s="3">
        <v>0.6</v>
      </c>
      <c r="E1545" s="5">
        <f t="shared" si="45"/>
        <v>0.42</v>
      </c>
      <c r="F1545" s="34"/>
    </row>
    <row r="1546" spans="1:6" s="1" customFormat="1" ht="15" x14ac:dyDescent="0.2">
      <c r="A1546" s="444"/>
      <c r="B1546" s="3" t="s">
        <v>512</v>
      </c>
      <c r="C1546" s="3">
        <v>0.8</v>
      </c>
      <c r="D1546" s="3">
        <v>0.6</v>
      </c>
      <c r="E1546" s="5">
        <f t="shared" si="45"/>
        <v>0.48</v>
      </c>
      <c r="F1546" s="34"/>
    </row>
    <row r="1547" spans="1:6" s="1" customFormat="1" ht="15" x14ac:dyDescent="0.2">
      <c r="A1547" s="444"/>
      <c r="B1547" s="3" t="s">
        <v>513</v>
      </c>
      <c r="C1547" s="3">
        <v>0.8</v>
      </c>
      <c r="D1547" s="3">
        <v>0.6</v>
      </c>
      <c r="E1547" s="5">
        <f t="shared" si="45"/>
        <v>0.48</v>
      </c>
      <c r="F1547" s="34"/>
    </row>
    <row r="1548" spans="1:6" s="1" customFormat="1" ht="15" x14ac:dyDescent="0.2">
      <c r="A1548" s="444"/>
      <c r="B1548" s="3" t="s">
        <v>514</v>
      </c>
      <c r="C1548" s="3">
        <v>0.8</v>
      </c>
      <c r="D1548" s="3">
        <v>0.6</v>
      </c>
      <c r="E1548" s="5">
        <f t="shared" si="45"/>
        <v>0.48</v>
      </c>
      <c r="F1548" s="34"/>
    </row>
    <row r="1549" spans="1:6" s="1" customFormat="1" ht="15" x14ac:dyDescent="0.2">
      <c r="A1549" s="444"/>
      <c r="B1549" s="3" t="s">
        <v>515</v>
      </c>
      <c r="C1549" s="3">
        <v>0.7</v>
      </c>
      <c r="D1549" s="3">
        <v>0.6</v>
      </c>
      <c r="E1549" s="5">
        <f t="shared" si="45"/>
        <v>0.42</v>
      </c>
      <c r="F1549" s="34"/>
    </row>
    <row r="1550" spans="1:6" s="1" customFormat="1" ht="15" x14ac:dyDescent="0.2">
      <c r="A1550" s="444"/>
      <c r="B1550" s="3" t="s">
        <v>516</v>
      </c>
      <c r="C1550" s="3">
        <v>0.8</v>
      </c>
      <c r="D1550" s="3">
        <v>0.6</v>
      </c>
      <c r="E1550" s="5">
        <f t="shared" si="45"/>
        <v>0.48</v>
      </c>
      <c r="F1550" s="34"/>
    </row>
    <row r="1551" spans="1:6" s="1" customFormat="1" ht="15" x14ac:dyDescent="0.2">
      <c r="A1551" s="444"/>
      <c r="B1551" s="3" t="s">
        <v>517</v>
      </c>
      <c r="C1551" s="3">
        <v>0.8</v>
      </c>
      <c r="D1551" s="3">
        <v>0.6</v>
      </c>
      <c r="E1551" s="5">
        <f t="shared" si="45"/>
        <v>0.48</v>
      </c>
      <c r="F1551" s="34"/>
    </row>
    <row r="1552" spans="1:6" s="1" customFormat="1" ht="15" x14ac:dyDescent="0.2">
      <c r="A1552" s="444"/>
      <c r="B1552" s="3" t="s">
        <v>533</v>
      </c>
      <c r="C1552" s="3">
        <v>0.6</v>
      </c>
      <c r="D1552" s="3">
        <v>0.7</v>
      </c>
      <c r="E1552" s="5">
        <f t="shared" si="45"/>
        <v>0.42</v>
      </c>
      <c r="F1552" s="34"/>
    </row>
    <row r="1553" spans="1:6" s="1" customFormat="1" ht="15" x14ac:dyDescent="0.2">
      <c r="A1553" s="444"/>
      <c r="B1553" s="3" t="s">
        <v>518</v>
      </c>
      <c r="C1553" s="3">
        <v>0.7</v>
      </c>
      <c r="D1553" s="3">
        <v>0.6</v>
      </c>
      <c r="E1553" s="5">
        <f t="shared" si="45"/>
        <v>0.42</v>
      </c>
      <c r="F1553" s="34"/>
    </row>
    <row r="1554" spans="1:6" s="1" customFormat="1" ht="15" x14ac:dyDescent="0.2">
      <c r="A1554" s="445"/>
      <c r="B1554" s="3" t="s">
        <v>519</v>
      </c>
      <c r="C1554" s="3">
        <v>0.7</v>
      </c>
      <c r="D1554" s="3">
        <v>0.6</v>
      </c>
      <c r="E1554" s="5">
        <f t="shared" si="45"/>
        <v>0.42</v>
      </c>
      <c r="F1554" s="34"/>
    </row>
    <row r="1555" spans="1:6" s="1" customFormat="1" ht="14.25" customHeight="1" x14ac:dyDescent="0.2">
      <c r="A1555" s="446" t="s">
        <v>195</v>
      </c>
      <c r="B1555" s="447"/>
      <c r="C1555" s="447"/>
      <c r="D1555" s="434"/>
      <c r="E1555" s="2">
        <f>SUM(E1538:E1554)</f>
        <v>7.74</v>
      </c>
      <c r="F1555" s="35"/>
    </row>
    <row r="1556" spans="1:6" s="1" customFormat="1" ht="15" x14ac:dyDescent="0.2">
      <c r="A1556" s="21" t="s">
        <v>186</v>
      </c>
      <c r="B1556" s="2" t="s">
        <v>521</v>
      </c>
      <c r="C1556" s="2" t="s">
        <v>187</v>
      </c>
      <c r="D1556" s="2" t="s">
        <v>188</v>
      </c>
      <c r="E1556" s="2" t="s">
        <v>194</v>
      </c>
      <c r="F1556" s="33"/>
    </row>
    <row r="1557" spans="1:6" s="1" customFormat="1" ht="15" customHeight="1" x14ac:dyDescent="0.2">
      <c r="A1557" s="443" t="s">
        <v>163</v>
      </c>
      <c r="B1557" s="3" t="s">
        <v>522</v>
      </c>
      <c r="C1557" s="3">
        <v>9.82</v>
      </c>
      <c r="D1557" s="3">
        <v>0.14000000000000001</v>
      </c>
      <c r="E1557" s="5">
        <f>C1557*D1557</f>
        <v>1.3748000000000002</v>
      </c>
      <c r="F1557" s="34"/>
    </row>
    <row r="1558" spans="1:6" s="1" customFormat="1" ht="15" x14ac:dyDescent="0.2">
      <c r="A1558" s="444"/>
      <c r="B1558" s="3" t="s">
        <v>523</v>
      </c>
      <c r="C1558" s="3">
        <v>5.88</v>
      </c>
      <c r="D1558" s="3">
        <v>0.14000000000000001</v>
      </c>
      <c r="E1558" s="5">
        <f t="shared" ref="E1558:E1563" si="46">C1558*D1558</f>
        <v>0.82320000000000004</v>
      </c>
      <c r="F1558" s="34"/>
    </row>
    <row r="1559" spans="1:6" s="1" customFormat="1" ht="15" x14ac:dyDescent="0.2">
      <c r="A1559" s="444"/>
      <c r="B1559" s="3" t="s">
        <v>524</v>
      </c>
      <c r="C1559" s="3">
        <v>0.9</v>
      </c>
      <c r="D1559" s="3">
        <v>0.14000000000000001</v>
      </c>
      <c r="E1559" s="5">
        <f t="shared" si="46"/>
        <v>0.12600000000000003</v>
      </c>
      <c r="F1559" s="34"/>
    </row>
    <row r="1560" spans="1:6" s="1" customFormat="1" ht="15" x14ac:dyDescent="0.2">
      <c r="A1560" s="444"/>
      <c r="B1560" s="3" t="s">
        <v>525</v>
      </c>
      <c r="C1560" s="3">
        <v>15.959999999999999</v>
      </c>
      <c r="D1560" s="3">
        <v>0.14000000000000001</v>
      </c>
      <c r="E1560" s="5">
        <f t="shared" si="46"/>
        <v>2.2343999999999999</v>
      </c>
      <c r="F1560" s="34"/>
    </row>
    <row r="1561" spans="1:6" s="1" customFormat="1" ht="15" x14ac:dyDescent="0.2">
      <c r="A1561" s="444"/>
      <c r="B1561" s="3" t="s">
        <v>526</v>
      </c>
      <c r="C1561" s="3">
        <v>4.83</v>
      </c>
      <c r="D1561" s="3">
        <v>0.14000000000000001</v>
      </c>
      <c r="E1561" s="5">
        <f t="shared" si="46"/>
        <v>0.67620000000000002</v>
      </c>
      <c r="F1561" s="34"/>
    </row>
    <row r="1562" spans="1:6" s="1" customFormat="1" ht="15" x14ac:dyDescent="0.2">
      <c r="A1562" s="444"/>
      <c r="B1562" s="3" t="s">
        <v>527</v>
      </c>
      <c r="C1562" s="3">
        <v>8.32</v>
      </c>
      <c r="D1562" s="3">
        <v>0.14000000000000001</v>
      </c>
      <c r="E1562" s="5">
        <f t="shared" si="46"/>
        <v>1.1648000000000001</v>
      </c>
      <c r="F1562" s="34"/>
    </row>
    <row r="1563" spans="1:6" s="1" customFormat="1" ht="15" x14ac:dyDescent="0.2">
      <c r="A1563" s="444"/>
      <c r="B1563" s="3" t="s">
        <v>528</v>
      </c>
      <c r="C1563" s="3">
        <v>6.43</v>
      </c>
      <c r="D1563" s="3">
        <v>0.14000000000000001</v>
      </c>
      <c r="E1563" s="5">
        <f t="shared" si="46"/>
        <v>0.9002</v>
      </c>
      <c r="F1563" s="34"/>
    </row>
    <row r="1564" spans="1:6" s="1" customFormat="1" ht="14.25" customHeight="1" x14ac:dyDescent="0.2">
      <c r="A1564" s="446" t="s">
        <v>195</v>
      </c>
      <c r="B1564" s="447"/>
      <c r="C1564" s="447"/>
      <c r="D1564" s="434"/>
      <c r="E1564" s="2">
        <f>SUM(E1557:E1563)</f>
        <v>7.2995999999999999</v>
      </c>
      <c r="F1564" s="35"/>
    </row>
    <row r="1565" spans="1:6" s="1" customFormat="1" ht="15" x14ac:dyDescent="0.2">
      <c r="A1565" s="19"/>
      <c r="B1565" s="50"/>
      <c r="C1565" s="50"/>
      <c r="D1565" s="50"/>
      <c r="E1565" s="50"/>
      <c r="F1565" s="20"/>
    </row>
    <row r="1566" spans="1:6" s="1" customFormat="1" ht="15" x14ac:dyDescent="0.2">
      <c r="A1566" s="446" t="s">
        <v>534</v>
      </c>
      <c r="B1566" s="447"/>
      <c r="C1566" s="447"/>
      <c r="D1566" s="434"/>
      <c r="E1566" s="36">
        <f>E1564+E1555</f>
        <v>15.0396</v>
      </c>
      <c r="F1566" s="37"/>
    </row>
    <row r="1567" spans="1:6" s="1" customFormat="1" ht="15" x14ac:dyDescent="0.2">
      <c r="A1567" s="19"/>
      <c r="B1567" s="50"/>
      <c r="C1567" s="50"/>
      <c r="D1567" s="50"/>
      <c r="E1567" s="50"/>
      <c r="F1567" s="20"/>
    </row>
    <row r="1568" spans="1:6" ht="39" customHeight="1" x14ac:dyDescent="0.2">
      <c r="A1568" s="80" t="s">
        <v>481</v>
      </c>
      <c r="B1568" s="348" t="s">
        <v>482</v>
      </c>
      <c r="C1568" s="348"/>
      <c r="D1568" s="348"/>
      <c r="E1568" s="25" t="s">
        <v>13</v>
      </c>
      <c r="F1568" s="93">
        <f>E1599</f>
        <v>15.0396</v>
      </c>
    </row>
    <row r="1569" spans="1:6" s="1" customFormat="1" ht="15" x14ac:dyDescent="0.2">
      <c r="A1569" s="19"/>
      <c r="B1569" s="50"/>
      <c r="C1569" s="50"/>
      <c r="D1569" s="50"/>
      <c r="E1569" s="50"/>
      <c r="F1569" s="20"/>
    </row>
    <row r="1570" spans="1:6" s="1" customFormat="1" ht="15" x14ac:dyDescent="0.2">
      <c r="A1570" s="21" t="s">
        <v>186</v>
      </c>
      <c r="B1570" s="2" t="s">
        <v>506</v>
      </c>
      <c r="C1570" s="2" t="s">
        <v>187</v>
      </c>
      <c r="D1570" s="2" t="s">
        <v>188</v>
      </c>
      <c r="E1570" s="2" t="s">
        <v>194</v>
      </c>
      <c r="F1570" s="33"/>
    </row>
    <row r="1571" spans="1:6" s="1" customFormat="1" ht="15" customHeight="1" x14ac:dyDescent="0.2">
      <c r="A1571" s="443" t="s">
        <v>163</v>
      </c>
      <c r="B1571" s="3" t="s">
        <v>508</v>
      </c>
      <c r="C1571" s="3">
        <v>0.8</v>
      </c>
      <c r="D1571" s="3">
        <v>0.6</v>
      </c>
      <c r="E1571" s="5">
        <f>C1571*D1571</f>
        <v>0.48</v>
      </c>
      <c r="F1571" s="34"/>
    </row>
    <row r="1572" spans="1:6" s="1" customFormat="1" ht="15" x14ac:dyDescent="0.2">
      <c r="A1572" s="444"/>
      <c r="B1572" s="3" t="s">
        <v>509</v>
      </c>
      <c r="C1572" s="3">
        <v>0.8</v>
      </c>
      <c r="D1572" s="3">
        <v>0.6</v>
      </c>
      <c r="E1572" s="5">
        <f t="shared" ref="E1572:E1587" si="47">C1572*D1572</f>
        <v>0.48</v>
      </c>
      <c r="F1572" s="34"/>
    </row>
    <row r="1573" spans="1:6" s="1" customFormat="1" ht="15" x14ac:dyDescent="0.2">
      <c r="A1573" s="444"/>
      <c r="B1573" s="3" t="s">
        <v>510</v>
      </c>
      <c r="C1573" s="3">
        <v>0.8</v>
      </c>
      <c r="D1573" s="3">
        <v>0.6</v>
      </c>
      <c r="E1573" s="5">
        <f t="shared" si="47"/>
        <v>0.48</v>
      </c>
      <c r="F1573" s="34"/>
    </row>
    <row r="1574" spans="1:6" s="1" customFormat="1" ht="15" x14ac:dyDescent="0.2">
      <c r="A1574" s="444"/>
      <c r="B1574" s="3" t="s">
        <v>511</v>
      </c>
      <c r="C1574" s="3">
        <v>0.7</v>
      </c>
      <c r="D1574" s="3">
        <v>0.6</v>
      </c>
      <c r="E1574" s="5">
        <f t="shared" si="47"/>
        <v>0.42</v>
      </c>
      <c r="F1574" s="34"/>
    </row>
    <row r="1575" spans="1:6" s="1" customFormat="1" ht="15" x14ac:dyDescent="0.2">
      <c r="A1575" s="444"/>
      <c r="B1575" s="3" t="s">
        <v>520</v>
      </c>
      <c r="C1575" s="3">
        <v>0.8</v>
      </c>
      <c r="D1575" s="3">
        <v>0.6</v>
      </c>
      <c r="E1575" s="5">
        <f t="shared" si="47"/>
        <v>0.48</v>
      </c>
      <c r="F1575" s="34"/>
    </row>
    <row r="1576" spans="1:6" s="1" customFormat="1" ht="15" x14ac:dyDescent="0.2">
      <c r="A1576" s="444"/>
      <c r="B1576" s="3" t="s">
        <v>530</v>
      </c>
      <c r="C1576" s="3">
        <v>0.7</v>
      </c>
      <c r="D1576" s="3">
        <v>0.6</v>
      </c>
      <c r="E1576" s="5">
        <f t="shared" si="47"/>
        <v>0.42</v>
      </c>
      <c r="F1576" s="34"/>
    </row>
    <row r="1577" spans="1:6" s="1" customFormat="1" ht="15" x14ac:dyDescent="0.2">
      <c r="A1577" s="444"/>
      <c r="B1577" s="3" t="s">
        <v>531</v>
      </c>
      <c r="C1577" s="3">
        <v>0.8</v>
      </c>
      <c r="D1577" s="3">
        <v>0.6</v>
      </c>
      <c r="E1577" s="5">
        <f t="shared" si="47"/>
        <v>0.48</v>
      </c>
      <c r="F1577" s="34"/>
    </row>
    <row r="1578" spans="1:6" s="1" customFormat="1" ht="15" x14ac:dyDescent="0.2">
      <c r="A1578" s="444"/>
      <c r="B1578" s="3" t="s">
        <v>532</v>
      </c>
      <c r="C1578" s="3">
        <v>0.7</v>
      </c>
      <c r="D1578" s="3">
        <v>0.6</v>
      </c>
      <c r="E1578" s="5">
        <f t="shared" si="47"/>
        <v>0.42</v>
      </c>
      <c r="F1578" s="34"/>
    </row>
    <row r="1579" spans="1:6" s="1" customFormat="1" ht="15" x14ac:dyDescent="0.2">
      <c r="A1579" s="444"/>
      <c r="B1579" s="3" t="s">
        <v>512</v>
      </c>
      <c r="C1579" s="3">
        <v>0.8</v>
      </c>
      <c r="D1579" s="3">
        <v>0.6</v>
      </c>
      <c r="E1579" s="5">
        <f t="shared" si="47"/>
        <v>0.48</v>
      </c>
      <c r="F1579" s="34"/>
    </row>
    <row r="1580" spans="1:6" s="1" customFormat="1" ht="15" x14ac:dyDescent="0.2">
      <c r="A1580" s="444"/>
      <c r="B1580" s="3" t="s">
        <v>513</v>
      </c>
      <c r="C1580" s="3">
        <v>0.8</v>
      </c>
      <c r="D1580" s="3">
        <v>0.6</v>
      </c>
      <c r="E1580" s="5">
        <f t="shared" si="47"/>
        <v>0.48</v>
      </c>
      <c r="F1580" s="34"/>
    </row>
    <row r="1581" spans="1:6" s="1" customFormat="1" ht="15" x14ac:dyDescent="0.2">
      <c r="A1581" s="444"/>
      <c r="B1581" s="3" t="s">
        <v>514</v>
      </c>
      <c r="C1581" s="3">
        <v>0.8</v>
      </c>
      <c r="D1581" s="3">
        <v>0.6</v>
      </c>
      <c r="E1581" s="5">
        <f t="shared" si="47"/>
        <v>0.48</v>
      </c>
      <c r="F1581" s="34"/>
    </row>
    <row r="1582" spans="1:6" s="1" customFormat="1" ht="15" x14ac:dyDescent="0.2">
      <c r="A1582" s="444"/>
      <c r="B1582" s="3" t="s">
        <v>515</v>
      </c>
      <c r="C1582" s="3">
        <v>0.7</v>
      </c>
      <c r="D1582" s="3">
        <v>0.6</v>
      </c>
      <c r="E1582" s="5">
        <f t="shared" si="47"/>
        <v>0.42</v>
      </c>
      <c r="F1582" s="34"/>
    </row>
    <row r="1583" spans="1:6" s="1" customFormat="1" ht="15" x14ac:dyDescent="0.2">
      <c r="A1583" s="444"/>
      <c r="B1583" s="3" t="s">
        <v>516</v>
      </c>
      <c r="C1583" s="3">
        <v>0.8</v>
      </c>
      <c r="D1583" s="3">
        <v>0.6</v>
      </c>
      <c r="E1583" s="5">
        <f t="shared" si="47"/>
        <v>0.48</v>
      </c>
      <c r="F1583" s="34"/>
    </row>
    <row r="1584" spans="1:6" s="1" customFormat="1" ht="15" x14ac:dyDescent="0.2">
      <c r="A1584" s="444"/>
      <c r="B1584" s="3" t="s">
        <v>517</v>
      </c>
      <c r="C1584" s="3">
        <v>0.8</v>
      </c>
      <c r="D1584" s="3">
        <v>0.6</v>
      </c>
      <c r="E1584" s="5">
        <f t="shared" si="47"/>
        <v>0.48</v>
      </c>
      <c r="F1584" s="34"/>
    </row>
    <row r="1585" spans="1:6" s="1" customFormat="1" ht="15" x14ac:dyDescent="0.2">
      <c r="A1585" s="444"/>
      <c r="B1585" s="3" t="s">
        <v>533</v>
      </c>
      <c r="C1585" s="3">
        <v>0.6</v>
      </c>
      <c r="D1585" s="3">
        <v>0.7</v>
      </c>
      <c r="E1585" s="5">
        <f t="shared" si="47"/>
        <v>0.42</v>
      </c>
      <c r="F1585" s="34"/>
    </row>
    <row r="1586" spans="1:6" s="1" customFormat="1" ht="15" x14ac:dyDescent="0.2">
      <c r="A1586" s="444"/>
      <c r="B1586" s="3" t="s">
        <v>518</v>
      </c>
      <c r="C1586" s="3">
        <v>0.7</v>
      </c>
      <c r="D1586" s="3">
        <v>0.6</v>
      </c>
      <c r="E1586" s="5">
        <f t="shared" si="47"/>
        <v>0.42</v>
      </c>
      <c r="F1586" s="34"/>
    </row>
    <row r="1587" spans="1:6" s="1" customFormat="1" ht="15" x14ac:dyDescent="0.2">
      <c r="A1587" s="445"/>
      <c r="B1587" s="3" t="s">
        <v>519</v>
      </c>
      <c r="C1587" s="3">
        <v>0.7</v>
      </c>
      <c r="D1587" s="3">
        <v>0.6</v>
      </c>
      <c r="E1587" s="5">
        <f t="shared" si="47"/>
        <v>0.42</v>
      </c>
      <c r="F1587" s="34"/>
    </row>
    <row r="1588" spans="1:6" s="1" customFormat="1" ht="14.25" customHeight="1" x14ac:dyDescent="0.2">
      <c r="A1588" s="446" t="s">
        <v>195</v>
      </c>
      <c r="B1588" s="447"/>
      <c r="C1588" s="447"/>
      <c r="D1588" s="434"/>
      <c r="E1588" s="2">
        <f>SUM(E1571:E1587)</f>
        <v>7.74</v>
      </c>
      <c r="F1588" s="35"/>
    </row>
    <row r="1589" spans="1:6" s="1" customFormat="1" ht="15" x14ac:dyDescent="0.2">
      <c r="A1589" s="21" t="s">
        <v>186</v>
      </c>
      <c r="B1589" s="2" t="s">
        <v>521</v>
      </c>
      <c r="C1589" s="2" t="s">
        <v>187</v>
      </c>
      <c r="D1589" s="2" t="s">
        <v>188</v>
      </c>
      <c r="E1589" s="2" t="s">
        <v>194</v>
      </c>
      <c r="F1589" s="33"/>
    </row>
    <row r="1590" spans="1:6" s="1" customFormat="1" ht="15" customHeight="1" x14ac:dyDescent="0.2">
      <c r="A1590" s="443" t="s">
        <v>163</v>
      </c>
      <c r="B1590" s="3" t="s">
        <v>522</v>
      </c>
      <c r="C1590" s="3">
        <v>9.82</v>
      </c>
      <c r="D1590" s="3">
        <v>0.14000000000000001</v>
      </c>
      <c r="E1590" s="5">
        <f>C1590*D1590</f>
        <v>1.3748000000000002</v>
      </c>
      <c r="F1590" s="34"/>
    </row>
    <row r="1591" spans="1:6" s="1" customFormat="1" ht="15" x14ac:dyDescent="0.2">
      <c r="A1591" s="444"/>
      <c r="B1591" s="3" t="s">
        <v>523</v>
      </c>
      <c r="C1591" s="3">
        <v>5.88</v>
      </c>
      <c r="D1591" s="3">
        <v>0.14000000000000001</v>
      </c>
      <c r="E1591" s="5">
        <f t="shared" ref="E1591:E1596" si="48">C1591*D1591</f>
        <v>0.82320000000000004</v>
      </c>
      <c r="F1591" s="34"/>
    </row>
    <row r="1592" spans="1:6" s="1" customFormat="1" ht="15" x14ac:dyDescent="0.2">
      <c r="A1592" s="444"/>
      <c r="B1592" s="3" t="s">
        <v>524</v>
      </c>
      <c r="C1592" s="3">
        <v>0.9</v>
      </c>
      <c r="D1592" s="3">
        <v>0.14000000000000001</v>
      </c>
      <c r="E1592" s="5">
        <f t="shared" si="48"/>
        <v>0.12600000000000003</v>
      </c>
      <c r="F1592" s="34"/>
    </row>
    <row r="1593" spans="1:6" s="1" customFormat="1" ht="15" x14ac:dyDescent="0.2">
      <c r="A1593" s="444"/>
      <c r="B1593" s="3" t="s">
        <v>525</v>
      </c>
      <c r="C1593" s="3">
        <v>15.959999999999999</v>
      </c>
      <c r="D1593" s="3">
        <v>0.14000000000000001</v>
      </c>
      <c r="E1593" s="5">
        <f t="shared" si="48"/>
        <v>2.2343999999999999</v>
      </c>
      <c r="F1593" s="34"/>
    </row>
    <row r="1594" spans="1:6" s="1" customFormat="1" ht="15" x14ac:dyDescent="0.2">
      <c r="A1594" s="444"/>
      <c r="B1594" s="3" t="s">
        <v>526</v>
      </c>
      <c r="C1594" s="3">
        <v>4.83</v>
      </c>
      <c r="D1594" s="3">
        <v>0.14000000000000001</v>
      </c>
      <c r="E1594" s="5">
        <f t="shared" si="48"/>
        <v>0.67620000000000002</v>
      </c>
      <c r="F1594" s="34"/>
    </row>
    <row r="1595" spans="1:6" s="1" customFormat="1" ht="15" x14ac:dyDescent="0.2">
      <c r="A1595" s="444"/>
      <c r="B1595" s="3" t="s">
        <v>527</v>
      </c>
      <c r="C1595" s="3">
        <v>8.32</v>
      </c>
      <c r="D1595" s="3">
        <v>0.14000000000000001</v>
      </c>
      <c r="E1595" s="5">
        <f t="shared" si="48"/>
        <v>1.1648000000000001</v>
      </c>
      <c r="F1595" s="34"/>
    </row>
    <row r="1596" spans="1:6" s="1" customFormat="1" ht="15" x14ac:dyDescent="0.2">
      <c r="A1596" s="444"/>
      <c r="B1596" s="3" t="s">
        <v>528</v>
      </c>
      <c r="C1596" s="3">
        <v>6.43</v>
      </c>
      <c r="D1596" s="3">
        <v>0.14000000000000001</v>
      </c>
      <c r="E1596" s="5">
        <f t="shared" si="48"/>
        <v>0.9002</v>
      </c>
      <c r="F1596" s="34"/>
    </row>
    <row r="1597" spans="1:6" s="1" customFormat="1" ht="14.25" customHeight="1" x14ac:dyDescent="0.2">
      <c r="A1597" s="446" t="s">
        <v>195</v>
      </c>
      <c r="B1597" s="447"/>
      <c r="C1597" s="447"/>
      <c r="D1597" s="434"/>
      <c r="E1597" s="2">
        <f>SUM(E1590:E1596)</f>
        <v>7.2995999999999999</v>
      </c>
      <c r="F1597" s="35"/>
    </row>
    <row r="1598" spans="1:6" s="1" customFormat="1" ht="15" x14ac:dyDescent="0.2">
      <c r="A1598" s="19"/>
      <c r="B1598" s="50"/>
      <c r="C1598" s="50"/>
      <c r="D1598" s="50"/>
      <c r="E1598" s="50"/>
      <c r="F1598" s="20"/>
    </row>
    <row r="1599" spans="1:6" s="1" customFormat="1" ht="15" x14ac:dyDescent="0.2">
      <c r="A1599" s="446" t="s">
        <v>534</v>
      </c>
      <c r="B1599" s="447"/>
      <c r="C1599" s="447"/>
      <c r="D1599" s="434"/>
      <c r="E1599" s="36">
        <f>E1597+E1588</f>
        <v>15.0396</v>
      </c>
      <c r="F1599" s="37"/>
    </row>
    <row r="1600" spans="1:6" s="1" customFormat="1" ht="15" x14ac:dyDescent="0.2">
      <c r="A1600" s="19"/>
      <c r="B1600" s="50"/>
      <c r="C1600" s="50"/>
      <c r="D1600" s="50"/>
      <c r="E1600" s="50"/>
      <c r="F1600" s="20"/>
    </row>
    <row r="1601" spans="1:6" ht="26.1" customHeight="1" x14ac:dyDescent="0.2">
      <c r="A1601" s="80" t="s">
        <v>483</v>
      </c>
      <c r="B1601" s="348" t="s">
        <v>484</v>
      </c>
      <c r="C1601" s="348"/>
      <c r="D1601" s="348"/>
      <c r="E1601" s="25" t="s">
        <v>386</v>
      </c>
      <c r="F1601" s="93">
        <f>80.7</f>
        <v>80.7</v>
      </c>
    </row>
    <row r="1602" spans="1:6" s="1" customFormat="1" ht="15" x14ac:dyDescent="0.2">
      <c r="A1602" s="356" t="s">
        <v>535</v>
      </c>
      <c r="B1602" s="357"/>
      <c r="C1602" s="357"/>
      <c r="D1602" s="357"/>
      <c r="E1602" s="357"/>
      <c r="F1602" s="358"/>
    </row>
    <row r="1603" spans="1:6" ht="26.1" customHeight="1" x14ac:dyDescent="0.2">
      <c r="A1603" s="80" t="s">
        <v>485</v>
      </c>
      <c r="B1603" s="348" t="s">
        <v>385</v>
      </c>
      <c r="C1603" s="348"/>
      <c r="D1603" s="348"/>
      <c r="E1603" s="25" t="s">
        <v>386</v>
      </c>
      <c r="F1603" s="93">
        <v>94.5</v>
      </c>
    </row>
    <row r="1604" spans="1:6" s="1" customFormat="1" ht="15" x14ac:dyDescent="0.2">
      <c r="A1604" s="356" t="s">
        <v>535</v>
      </c>
      <c r="B1604" s="357"/>
      <c r="C1604" s="357"/>
      <c r="D1604" s="357"/>
      <c r="E1604" s="357"/>
      <c r="F1604" s="358"/>
    </row>
    <row r="1605" spans="1:6" ht="26.1" customHeight="1" x14ac:dyDescent="0.2">
      <c r="A1605" s="80" t="s">
        <v>486</v>
      </c>
      <c r="B1605" s="348" t="s">
        <v>487</v>
      </c>
      <c r="C1605" s="348"/>
      <c r="D1605" s="348"/>
      <c r="E1605" s="25" t="s">
        <v>386</v>
      </c>
      <c r="F1605" s="93">
        <f>103.1+2.3</f>
        <v>105.39999999999999</v>
      </c>
    </row>
    <row r="1606" spans="1:6" s="1" customFormat="1" ht="15" x14ac:dyDescent="0.2">
      <c r="A1606" s="356" t="s">
        <v>535</v>
      </c>
      <c r="B1606" s="357"/>
      <c r="C1606" s="357"/>
      <c r="D1606" s="357"/>
      <c r="E1606" s="357"/>
      <c r="F1606" s="358"/>
    </row>
    <row r="1607" spans="1:6" ht="26.1" customHeight="1" x14ac:dyDescent="0.2">
      <c r="A1607" s="80" t="s">
        <v>488</v>
      </c>
      <c r="B1607" s="348" t="s">
        <v>489</v>
      </c>
      <c r="C1607" s="348"/>
      <c r="D1607" s="348"/>
      <c r="E1607" s="25" t="s">
        <v>386</v>
      </c>
      <c r="F1607" s="93">
        <f>30.1+44.5</f>
        <v>74.599999999999994</v>
      </c>
    </row>
    <row r="1608" spans="1:6" s="1" customFormat="1" ht="15" x14ac:dyDescent="0.2">
      <c r="A1608" s="356" t="s">
        <v>535</v>
      </c>
      <c r="B1608" s="357"/>
      <c r="C1608" s="357"/>
      <c r="D1608" s="357"/>
      <c r="E1608" s="357"/>
      <c r="F1608" s="358"/>
    </row>
    <row r="1609" spans="1:6" ht="51.95" customHeight="1" x14ac:dyDescent="0.2">
      <c r="A1609" s="80" t="s">
        <v>490</v>
      </c>
      <c r="B1609" s="348" t="s">
        <v>491</v>
      </c>
      <c r="C1609" s="348"/>
      <c r="D1609" s="348"/>
      <c r="E1609" s="25" t="s">
        <v>13</v>
      </c>
      <c r="F1609" s="93">
        <f>36.3+39.64</f>
        <v>75.94</v>
      </c>
    </row>
    <row r="1610" spans="1:6" s="1" customFormat="1" ht="15" x14ac:dyDescent="0.2">
      <c r="A1610" s="356" t="s">
        <v>535</v>
      </c>
      <c r="B1610" s="357"/>
      <c r="C1610" s="357"/>
      <c r="D1610" s="357"/>
      <c r="E1610" s="357"/>
      <c r="F1610" s="358"/>
    </row>
    <row r="1611" spans="1:6" ht="39" customHeight="1" x14ac:dyDescent="0.2">
      <c r="A1611" s="80" t="s">
        <v>492</v>
      </c>
      <c r="B1611" s="348" t="s">
        <v>388</v>
      </c>
      <c r="C1611" s="348"/>
      <c r="D1611" s="348"/>
      <c r="E1611" s="25" t="s">
        <v>19</v>
      </c>
      <c r="F1611" s="93">
        <f>1.07+2.32+2.25</f>
        <v>5.64</v>
      </c>
    </row>
    <row r="1612" spans="1:6" s="1" customFormat="1" ht="15" x14ac:dyDescent="0.2">
      <c r="A1612" s="356" t="s">
        <v>535</v>
      </c>
      <c r="B1612" s="357"/>
      <c r="C1612" s="357"/>
      <c r="D1612" s="357"/>
      <c r="E1612" s="357"/>
      <c r="F1612" s="358"/>
    </row>
    <row r="1613" spans="1:6" ht="26.1" customHeight="1" x14ac:dyDescent="0.2">
      <c r="A1613" s="80" t="s">
        <v>493</v>
      </c>
      <c r="B1613" s="348" t="s">
        <v>389</v>
      </c>
      <c r="C1613" s="348"/>
      <c r="D1613" s="348"/>
      <c r="E1613" s="25" t="s">
        <v>19</v>
      </c>
      <c r="F1613" s="93">
        <f>F1611</f>
        <v>5.64</v>
      </c>
    </row>
    <row r="1614" spans="1:6" s="1" customFormat="1" ht="15" x14ac:dyDescent="0.2">
      <c r="A1614" s="356" t="s">
        <v>535</v>
      </c>
      <c r="B1614" s="357"/>
      <c r="C1614" s="357"/>
      <c r="D1614" s="357"/>
      <c r="E1614" s="357"/>
      <c r="F1614" s="358"/>
    </row>
    <row r="1615" spans="1:6" ht="26.1" customHeight="1" x14ac:dyDescent="0.2">
      <c r="A1615" s="80" t="s">
        <v>494</v>
      </c>
      <c r="B1615" s="348" t="s">
        <v>495</v>
      </c>
      <c r="C1615" s="348"/>
      <c r="D1615" s="348"/>
      <c r="E1615" s="25" t="s">
        <v>13</v>
      </c>
      <c r="F1615" s="93">
        <f>F1625</f>
        <v>38.583600000000004</v>
      </c>
    </row>
    <row r="1616" spans="1:6" s="1" customFormat="1" ht="15" x14ac:dyDescent="0.2">
      <c r="A1616" s="356"/>
      <c r="B1616" s="357"/>
      <c r="C1616" s="357"/>
      <c r="D1616" s="357"/>
      <c r="E1616" s="357"/>
      <c r="F1616" s="358"/>
    </row>
    <row r="1617" spans="1:6" s="1" customFormat="1" ht="15" x14ac:dyDescent="0.2">
      <c r="A1617" s="21" t="s">
        <v>186</v>
      </c>
      <c r="B1617" s="2" t="s">
        <v>521</v>
      </c>
      <c r="C1617" s="2" t="s">
        <v>187</v>
      </c>
      <c r="D1617" s="2" t="s">
        <v>188</v>
      </c>
      <c r="E1617" s="2" t="s">
        <v>189</v>
      </c>
      <c r="F1617" s="28" t="s">
        <v>194</v>
      </c>
    </row>
    <row r="1618" spans="1:6" s="1" customFormat="1" ht="15" customHeight="1" x14ac:dyDescent="0.2">
      <c r="A1618" s="443" t="s">
        <v>507</v>
      </c>
      <c r="B1618" s="3" t="s">
        <v>522</v>
      </c>
      <c r="C1618" s="3">
        <v>9.82</v>
      </c>
      <c r="D1618" s="3">
        <v>0.14000000000000001</v>
      </c>
      <c r="E1618" s="5">
        <v>0.3</v>
      </c>
      <c r="F1618" s="29">
        <f>C1618*E1618*2+C1618*D1618</f>
        <v>7.2668000000000008</v>
      </c>
    </row>
    <row r="1619" spans="1:6" s="1" customFormat="1" ht="15" x14ac:dyDescent="0.2">
      <c r="A1619" s="444"/>
      <c r="B1619" s="3" t="s">
        <v>523</v>
      </c>
      <c r="C1619" s="3">
        <v>5.88</v>
      </c>
      <c r="D1619" s="3">
        <v>0.14000000000000001</v>
      </c>
      <c r="E1619" s="5">
        <v>0.3</v>
      </c>
      <c r="F1619" s="29">
        <f t="shared" ref="F1619:F1624" si="49">C1619*E1619*2+C1619*D1619</f>
        <v>4.3512000000000004</v>
      </c>
    </row>
    <row r="1620" spans="1:6" s="1" customFormat="1" ht="15" x14ac:dyDescent="0.2">
      <c r="A1620" s="444"/>
      <c r="B1620" s="3" t="s">
        <v>524</v>
      </c>
      <c r="C1620" s="3">
        <v>0.9</v>
      </c>
      <c r="D1620" s="3">
        <v>0.14000000000000001</v>
      </c>
      <c r="E1620" s="5">
        <v>0.3</v>
      </c>
      <c r="F1620" s="29">
        <f t="shared" si="49"/>
        <v>0.66600000000000004</v>
      </c>
    </row>
    <row r="1621" spans="1:6" s="1" customFormat="1" ht="15" x14ac:dyDescent="0.2">
      <c r="A1621" s="444"/>
      <c r="B1621" s="3" t="s">
        <v>525</v>
      </c>
      <c r="C1621" s="3">
        <v>15.959999999999999</v>
      </c>
      <c r="D1621" s="3">
        <v>0.14000000000000001</v>
      </c>
      <c r="E1621" s="5">
        <v>0.3</v>
      </c>
      <c r="F1621" s="29">
        <f t="shared" si="49"/>
        <v>11.810399999999998</v>
      </c>
    </row>
    <row r="1622" spans="1:6" s="1" customFormat="1" ht="15" x14ac:dyDescent="0.2">
      <c r="A1622" s="444"/>
      <c r="B1622" s="3" t="s">
        <v>526</v>
      </c>
      <c r="C1622" s="3">
        <v>4.83</v>
      </c>
      <c r="D1622" s="3">
        <v>0.14000000000000001</v>
      </c>
      <c r="E1622" s="5">
        <v>0.3</v>
      </c>
      <c r="F1622" s="29">
        <f t="shared" si="49"/>
        <v>3.5742000000000003</v>
      </c>
    </row>
    <row r="1623" spans="1:6" s="1" customFormat="1" ht="15" x14ac:dyDescent="0.2">
      <c r="A1623" s="444"/>
      <c r="B1623" s="3" t="s">
        <v>527</v>
      </c>
      <c r="C1623" s="3">
        <v>8.32</v>
      </c>
      <c r="D1623" s="3">
        <v>0.14000000000000001</v>
      </c>
      <c r="E1623" s="5">
        <v>0.3</v>
      </c>
      <c r="F1623" s="29">
        <f t="shared" si="49"/>
        <v>6.1568000000000005</v>
      </c>
    </row>
    <row r="1624" spans="1:6" s="1" customFormat="1" ht="15" x14ac:dyDescent="0.2">
      <c r="A1624" s="444"/>
      <c r="B1624" s="3" t="s">
        <v>528</v>
      </c>
      <c r="C1624" s="3">
        <v>6.43</v>
      </c>
      <c r="D1624" s="3">
        <v>0.14000000000000001</v>
      </c>
      <c r="E1624" s="5">
        <v>0.3</v>
      </c>
      <c r="F1624" s="29">
        <f t="shared" si="49"/>
        <v>4.7581999999999995</v>
      </c>
    </row>
    <row r="1625" spans="1:6" s="1" customFormat="1" ht="14.25" customHeight="1" x14ac:dyDescent="0.2">
      <c r="A1625" s="446" t="s">
        <v>195</v>
      </c>
      <c r="B1625" s="447"/>
      <c r="C1625" s="447"/>
      <c r="D1625" s="447"/>
      <c r="E1625" s="434"/>
      <c r="F1625" s="31">
        <f>SUM(F1618:F1624)</f>
        <v>38.583600000000004</v>
      </c>
    </row>
    <row r="1626" spans="1:6" s="1" customFormat="1" ht="15" x14ac:dyDescent="0.2">
      <c r="A1626" s="356"/>
      <c r="B1626" s="357"/>
      <c r="C1626" s="357"/>
      <c r="D1626" s="357"/>
      <c r="E1626" s="357"/>
      <c r="F1626" s="358"/>
    </row>
    <row r="1627" spans="1:6" ht="24" customHeight="1" x14ac:dyDescent="0.2">
      <c r="A1627" s="81" t="s">
        <v>123</v>
      </c>
      <c r="B1627" s="349" t="s">
        <v>126</v>
      </c>
      <c r="C1627" s="349"/>
      <c r="D1627" s="349"/>
      <c r="E1627" s="54"/>
      <c r="F1627" s="132">
        <v>1</v>
      </c>
    </row>
    <row r="1628" spans="1:6" ht="39" customHeight="1" x14ac:dyDescent="0.2">
      <c r="A1628" s="80" t="s">
        <v>496</v>
      </c>
      <c r="B1628" s="348" t="s">
        <v>497</v>
      </c>
      <c r="C1628" s="348"/>
      <c r="D1628" s="348"/>
      <c r="E1628" s="25" t="s">
        <v>386</v>
      </c>
      <c r="F1628" s="93">
        <f>212.4+65.3</f>
        <v>277.7</v>
      </c>
    </row>
    <row r="1629" spans="1:6" s="1" customFormat="1" ht="15" x14ac:dyDescent="0.2">
      <c r="A1629" s="356" t="s">
        <v>535</v>
      </c>
      <c r="B1629" s="357"/>
      <c r="C1629" s="357"/>
      <c r="D1629" s="357"/>
      <c r="E1629" s="357"/>
      <c r="F1629" s="358"/>
    </row>
    <row r="1630" spans="1:6" ht="39" customHeight="1" x14ac:dyDescent="0.2">
      <c r="A1630" s="80" t="s">
        <v>498</v>
      </c>
      <c r="B1630" s="348" t="s">
        <v>499</v>
      </c>
      <c r="C1630" s="348"/>
      <c r="D1630" s="348"/>
      <c r="E1630" s="25" t="s">
        <v>386</v>
      </c>
      <c r="F1630" s="93">
        <f>99.8+30.5</f>
        <v>130.30000000000001</v>
      </c>
    </row>
    <row r="1631" spans="1:6" s="1" customFormat="1" ht="15" x14ac:dyDescent="0.2">
      <c r="A1631" s="356" t="s">
        <v>535</v>
      </c>
      <c r="B1631" s="357"/>
      <c r="C1631" s="357"/>
      <c r="D1631" s="357"/>
      <c r="E1631" s="357"/>
      <c r="F1631" s="358"/>
    </row>
    <row r="1632" spans="1:6" ht="39" customHeight="1" x14ac:dyDescent="0.2">
      <c r="A1632" s="80" t="s">
        <v>500</v>
      </c>
      <c r="B1632" s="348" t="s">
        <v>388</v>
      </c>
      <c r="C1632" s="348"/>
      <c r="D1632" s="348"/>
      <c r="E1632" s="25" t="s">
        <v>19</v>
      </c>
      <c r="F1632" s="93">
        <f>5.07+1.56</f>
        <v>6.6300000000000008</v>
      </c>
    </row>
    <row r="1633" spans="1:6" s="1" customFormat="1" ht="15" x14ac:dyDescent="0.2">
      <c r="A1633" s="356" t="s">
        <v>535</v>
      </c>
      <c r="B1633" s="357"/>
      <c r="C1633" s="357"/>
      <c r="D1633" s="357"/>
      <c r="E1633" s="357"/>
      <c r="F1633" s="358"/>
    </row>
    <row r="1634" spans="1:6" ht="26.1" customHeight="1" x14ac:dyDescent="0.2">
      <c r="A1634" s="80" t="s">
        <v>501</v>
      </c>
      <c r="B1634" s="348" t="s">
        <v>389</v>
      </c>
      <c r="C1634" s="348"/>
      <c r="D1634" s="348"/>
      <c r="E1634" s="25" t="s">
        <v>19</v>
      </c>
      <c r="F1634" s="93">
        <f>F1632</f>
        <v>6.6300000000000008</v>
      </c>
    </row>
    <row r="1635" spans="1:6" s="1" customFormat="1" ht="15" x14ac:dyDescent="0.2">
      <c r="A1635" s="356" t="s">
        <v>535</v>
      </c>
      <c r="B1635" s="357"/>
      <c r="C1635" s="357"/>
      <c r="D1635" s="357"/>
      <c r="E1635" s="357"/>
      <c r="F1635" s="358"/>
    </row>
    <row r="1636" spans="1:6" ht="26.1" customHeight="1" x14ac:dyDescent="0.2">
      <c r="A1636" s="80" t="s">
        <v>502</v>
      </c>
      <c r="B1636" s="348" t="s">
        <v>503</v>
      </c>
      <c r="C1636" s="348"/>
      <c r="D1636" s="348"/>
      <c r="E1636" s="25" t="s">
        <v>13</v>
      </c>
      <c r="F1636" s="93">
        <f>27.46+89.24</f>
        <v>116.69999999999999</v>
      </c>
    </row>
    <row r="1637" spans="1:6" s="1" customFormat="1" ht="15" x14ac:dyDescent="0.2">
      <c r="A1637" s="356" t="s">
        <v>535</v>
      </c>
      <c r="B1637" s="357"/>
      <c r="C1637" s="357"/>
      <c r="D1637" s="357"/>
      <c r="E1637" s="357"/>
      <c r="F1637" s="358"/>
    </row>
    <row r="1638" spans="1:6" ht="24" customHeight="1" x14ac:dyDescent="0.2">
      <c r="A1638" s="81" t="s">
        <v>125</v>
      </c>
      <c r="B1638" s="349" t="s">
        <v>40</v>
      </c>
      <c r="C1638" s="349"/>
      <c r="D1638" s="349"/>
      <c r="E1638" s="54"/>
      <c r="F1638" s="132">
        <v>1</v>
      </c>
    </row>
    <row r="1639" spans="1:6" ht="51.95" customHeight="1" x14ac:dyDescent="0.2">
      <c r="A1639" s="80" t="s">
        <v>127</v>
      </c>
      <c r="B1639" s="348" t="s">
        <v>132</v>
      </c>
      <c r="C1639" s="348"/>
      <c r="D1639" s="348"/>
      <c r="E1639" s="25" t="s">
        <v>13</v>
      </c>
      <c r="F1639" s="93">
        <f>F1642</f>
        <v>120.327</v>
      </c>
    </row>
    <row r="1640" spans="1:6" s="1" customFormat="1" ht="15" x14ac:dyDescent="0.2">
      <c r="A1640" s="19"/>
      <c r="B1640" s="50"/>
      <c r="C1640" s="50"/>
      <c r="D1640" s="50"/>
      <c r="E1640" s="50"/>
      <c r="F1640" s="20"/>
    </row>
    <row r="1641" spans="1:6" s="1" customFormat="1" ht="15" x14ac:dyDescent="0.2">
      <c r="A1641" s="21" t="s">
        <v>186</v>
      </c>
      <c r="B1641" s="2" t="s">
        <v>192</v>
      </c>
      <c r="C1641" s="2" t="s">
        <v>536</v>
      </c>
      <c r="D1641" s="2" t="s">
        <v>537</v>
      </c>
      <c r="E1641" s="2" t="s">
        <v>538</v>
      </c>
      <c r="F1641" s="28" t="s">
        <v>195</v>
      </c>
    </row>
    <row r="1642" spans="1:6" s="1" customFormat="1" ht="15" x14ac:dyDescent="0.2">
      <c r="A1642" s="22" t="s">
        <v>539</v>
      </c>
      <c r="B1642" s="3">
        <f>13.1+10.16+8.57+6.43+5.43</f>
        <v>43.69</v>
      </c>
      <c r="C1642" s="3">
        <v>3.3</v>
      </c>
      <c r="D1642" s="5">
        <f>4.2*3+2.5*1.5*3</f>
        <v>23.85</v>
      </c>
      <c r="E1642" s="5">
        <f>B1642*C1642-D1642</f>
        <v>120.327</v>
      </c>
      <c r="F1642" s="31">
        <f>SUM(E1642:E1642)</f>
        <v>120.327</v>
      </c>
    </row>
    <row r="1643" spans="1:6" s="1" customFormat="1" ht="15" x14ac:dyDescent="0.2">
      <c r="A1643" s="19"/>
      <c r="B1643" s="50"/>
      <c r="C1643" s="50"/>
      <c r="D1643" s="50"/>
      <c r="E1643" s="50"/>
      <c r="F1643" s="20"/>
    </row>
    <row r="1644" spans="1:6" ht="26.1" customHeight="1" x14ac:dyDescent="0.2">
      <c r="A1644" s="80" t="s">
        <v>129</v>
      </c>
      <c r="B1644" s="348" t="s">
        <v>164</v>
      </c>
      <c r="C1644" s="348"/>
      <c r="D1644" s="348"/>
      <c r="E1644" s="25" t="s">
        <v>10</v>
      </c>
      <c r="F1644" s="93">
        <f>F1649</f>
        <v>14.100000000000001</v>
      </c>
    </row>
    <row r="1645" spans="1:6" s="1" customFormat="1" ht="15" x14ac:dyDescent="0.2">
      <c r="A1645" s="19"/>
      <c r="B1645" s="50"/>
      <c r="C1645" s="50"/>
      <c r="D1645" s="50"/>
      <c r="E1645" s="50"/>
      <c r="F1645" s="20"/>
    </row>
    <row r="1646" spans="1:6" s="1" customFormat="1" ht="15" x14ac:dyDescent="0.2">
      <c r="A1646" s="21" t="s">
        <v>79</v>
      </c>
      <c r="B1646" s="2" t="s">
        <v>188</v>
      </c>
      <c r="C1646" s="2" t="s">
        <v>540</v>
      </c>
      <c r="D1646" s="2" t="s">
        <v>187</v>
      </c>
      <c r="E1646" s="2" t="s">
        <v>305</v>
      </c>
      <c r="F1646" s="28" t="s">
        <v>313</v>
      </c>
    </row>
    <row r="1647" spans="1:6" s="1" customFormat="1" ht="15" x14ac:dyDescent="0.2">
      <c r="A1647" s="22" t="s">
        <v>542</v>
      </c>
      <c r="B1647" s="3">
        <v>4.2</v>
      </c>
      <c r="C1647" s="3">
        <v>0.6</v>
      </c>
      <c r="D1647" s="5">
        <f>B1647+C1647</f>
        <v>4.8</v>
      </c>
      <c r="E1647" s="5">
        <v>1</v>
      </c>
      <c r="F1647" s="38">
        <f>D1647*E1647</f>
        <v>4.8</v>
      </c>
    </row>
    <row r="1648" spans="1:6" s="1" customFormat="1" ht="15" x14ac:dyDescent="0.2">
      <c r="A1648" s="22" t="s">
        <v>541</v>
      </c>
      <c r="B1648" s="3">
        <v>2.5</v>
      </c>
      <c r="C1648" s="3">
        <v>0.6</v>
      </c>
      <c r="D1648" s="5">
        <f t="shared" ref="D1648" si="50">B1648+C1648</f>
        <v>3.1</v>
      </c>
      <c r="E1648" s="5">
        <v>3</v>
      </c>
      <c r="F1648" s="38">
        <f t="shared" ref="F1648" si="51">D1648*E1648</f>
        <v>9.3000000000000007</v>
      </c>
    </row>
    <row r="1649" spans="1:6" s="1" customFormat="1" ht="15" x14ac:dyDescent="0.2">
      <c r="A1649" s="378" t="s">
        <v>313</v>
      </c>
      <c r="B1649" s="379"/>
      <c r="C1649" s="379"/>
      <c r="D1649" s="379"/>
      <c r="E1649" s="379"/>
      <c r="F1649" s="31">
        <f>SUM(F1647:F1648)</f>
        <v>14.100000000000001</v>
      </c>
    </row>
    <row r="1650" spans="1:6" s="1" customFormat="1" ht="15" x14ac:dyDescent="0.2">
      <c r="A1650" s="19"/>
      <c r="B1650" s="50"/>
      <c r="C1650" s="50"/>
      <c r="D1650" s="50"/>
      <c r="E1650" s="50"/>
      <c r="F1650" s="20"/>
    </row>
    <row r="1651" spans="1:6" ht="26.1" customHeight="1" x14ac:dyDescent="0.2">
      <c r="A1651" s="80" t="s">
        <v>130</v>
      </c>
      <c r="B1651" s="348" t="s">
        <v>165</v>
      </c>
      <c r="C1651" s="348"/>
      <c r="D1651" s="348"/>
      <c r="E1651" s="25" t="s">
        <v>10</v>
      </c>
      <c r="F1651" s="93">
        <f>F1655</f>
        <v>9.3000000000000007</v>
      </c>
    </row>
    <row r="1652" spans="1:6" s="1" customFormat="1" ht="15" x14ac:dyDescent="0.2">
      <c r="A1652" s="19"/>
      <c r="B1652" s="50"/>
      <c r="C1652" s="50"/>
      <c r="D1652" s="50"/>
      <c r="E1652" s="50"/>
      <c r="F1652" s="20"/>
    </row>
    <row r="1653" spans="1:6" s="1" customFormat="1" ht="15" x14ac:dyDescent="0.2">
      <c r="A1653" s="21" t="s">
        <v>79</v>
      </c>
      <c r="B1653" s="2" t="s">
        <v>188</v>
      </c>
      <c r="C1653" s="2" t="s">
        <v>540</v>
      </c>
      <c r="D1653" s="2" t="s">
        <v>187</v>
      </c>
      <c r="E1653" s="2" t="s">
        <v>305</v>
      </c>
      <c r="F1653" s="28" t="s">
        <v>313</v>
      </c>
    </row>
    <row r="1654" spans="1:6" s="1" customFormat="1" ht="15" x14ac:dyDescent="0.2">
      <c r="A1654" s="22" t="s">
        <v>541</v>
      </c>
      <c r="B1654" s="3">
        <v>2.5</v>
      </c>
      <c r="C1654" s="3">
        <v>0.6</v>
      </c>
      <c r="D1654" s="5">
        <f t="shared" ref="D1654" si="52">B1654+C1654</f>
        <v>3.1</v>
      </c>
      <c r="E1654" s="5">
        <v>3</v>
      </c>
      <c r="F1654" s="38">
        <f t="shared" ref="F1654" si="53">D1654*E1654</f>
        <v>9.3000000000000007</v>
      </c>
    </row>
    <row r="1655" spans="1:6" s="1" customFormat="1" ht="15" x14ac:dyDescent="0.2">
      <c r="A1655" s="378" t="s">
        <v>313</v>
      </c>
      <c r="B1655" s="379"/>
      <c r="C1655" s="379"/>
      <c r="D1655" s="379"/>
      <c r="E1655" s="379"/>
      <c r="F1655" s="31">
        <f>SUM(F1654:F1654)</f>
        <v>9.3000000000000007</v>
      </c>
    </row>
    <row r="1656" spans="1:6" s="1" customFormat="1" ht="15" x14ac:dyDescent="0.2">
      <c r="A1656" s="19"/>
      <c r="B1656" s="50"/>
      <c r="C1656" s="50"/>
      <c r="D1656" s="50"/>
      <c r="E1656" s="50"/>
      <c r="F1656" s="20"/>
    </row>
    <row r="1657" spans="1:6" ht="26.1" customHeight="1" x14ac:dyDescent="0.2">
      <c r="A1657" s="80" t="s">
        <v>277</v>
      </c>
      <c r="B1657" s="348" t="s">
        <v>166</v>
      </c>
      <c r="C1657" s="348"/>
      <c r="D1657" s="348"/>
      <c r="E1657" s="25" t="s">
        <v>10</v>
      </c>
      <c r="F1657" s="93">
        <f>B1660</f>
        <v>43.69</v>
      </c>
    </row>
    <row r="1658" spans="1:6" s="1" customFormat="1" ht="15" x14ac:dyDescent="0.2">
      <c r="A1658" s="19"/>
      <c r="B1658" s="50"/>
      <c r="C1658" s="50"/>
      <c r="D1658" s="50"/>
      <c r="E1658" s="50"/>
      <c r="F1658" s="20"/>
    </row>
    <row r="1659" spans="1:6" s="1" customFormat="1" ht="15" x14ac:dyDescent="0.2">
      <c r="A1659" s="21" t="s">
        <v>186</v>
      </c>
      <c r="B1659" s="2" t="s">
        <v>192</v>
      </c>
      <c r="C1659" s="47"/>
      <c r="D1659" s="47"/>
      <c r="E1659" s="47"/>
      <c r="F1659" s="35"/>
    </row>
    <row r="1660" spans="1:6" s="1" customFormat="1" ht="15" x14ac:dyDescent="0.2">
      <c r="A1660" s="22" t="s">
        <v>539</v>
      </c>
      <c r="B1660" s="2">
        <f>13.1+10.16+8.57+6.43+5.43</f>
        <v>43.69</v>
      </c>
      <c r="C1660" s="70"/>
      <c r="D1660" s="45"/>
      <c r="E1660" s="45"/>
      <c r="F1660" s="35"/>
    </row>
    <row r="1661" spans="1:6" s="1" customFormat="1" ht="15" x14ac:dyDescent="0.2">
      <c r="A1661" s="19"/>
      <c r="B1661" s="50"/>
      <c r="C1661" s="50"/>
      <c r="D1661" s="50"/>
      <c r="E1661" s="50"/>
      <c r="F1661" s="20"/>
    </row>
    <row r="1662" spans="1:6" ht="24" customHeight="1" x14ac:dyDescent="0.2">
      <c r="A1662" s="81" t="s">
        <v>131</v>
      </c>
      <c r="B1662" s="349" t="s">
        <v>135</v>
      </c>
      <c r="C1662" s="349"/>
      <c r="D1662" s="349"/>
      <c r="E1662" s="54"/>
      <c r="F1662" s="132">
        <v>1</v>
      </c>
    </row>
    <row r="1663" spans="1:6" ht="39" customHeight="1" x14ac:dyDescent="0.2">
      <c r="A1663" s="80" t="s">
        <v>133</v>
      </c>
      <c r="B1663" s="348" t="s">
        <v>138</v>
      </c>
      <c r="C1663" s="348"/>
      <c r="D1663" s="348"/>
      <c r="E1663" s="25" t="s">
        <v>13</v>
      </c>
      <c r="F1663" s="93">
        <f>B1666</f>
        <v>119.22</v>
      </c>
    </row>
    <row r="1664" spans="1:6" s="1" customFormat="1" ht="15" x14ac:dyDescent="0.2">
      <c r="A1664" s="19"/>
      <c r="B1664" s="50"/>
      <c r="C1664" s="50"/>
      <c r="D1664" s="50"/>
      <c r="E1664" s="50"/>
      <c r="F1664" s="20"/>
    </row>
    <row r="1665" spans="1:6" s="1" customFormat="1" ht="15" x14ac:dyDescent="0.2">
      <c r="A1665" s="21" t="s">
        <v>186</v>
      </c>
      <c r="B1665" s="2" t="s">
        <v>334</v>
      </c>
      <c r="C1665" s="47"/>
      <c r="D1665" s="47"/>
      <c r="E1665" s="47"/>
      <c r="F1665" s="35"/>
    </row>
    <row r="1666" spans="1:6" s="1" customFormat="1" ht="15" x14ac:dyDescent="0.2">
      <c r="A1666" s="22" t="s">
        <v>539</v>
      </c>
      <c r="B1666" s="2">
        <f>119.22</f>
        <v>119.22</v>
      </c>
      <c r="C1666" s="70"/>
      <c r="D1666" s="45"/>
      <c r="E1666" s="45"/>
      <c r="F1666" s="35"/>
    </row>
    <row r="1667" spans="1:6" s="1" customFormat="1" ht="15" x14ac:dyDescent="0.2">
      <c r="A1667" s="19"/>
      <c r="B1667" s="50"/>
      <c r="C1667" s="50"/>
      <c r="D1667" s="50"/>
      <c r="E1667" s="50"/>
      <c r="F1667" s="20"/>
    </row>
    <row r="1668" spans="1:6" ht="26.1" customHeight="1" x14ac:dyDescent="0.2">
      <c r="A1668" s="80" t="s">
        <v>278</v>
      </c>
      <c r="B1668" s="348" t="s">
        <v>140</v>
      </c>
      <c r="C1668" s="348"/>
      <c r="D1668" s="348"/>
      <c r="E1668" s="25" t="s">
        <v>10</v>
      </c>
      <c r="F1668" s="93">
        <f>B1672</f>
        <v>33.53</v>
      </c>
    </row>
    <row r="1669" spans="1:6" s="1" customFormat="1" ht="15" x14ac:dyDescent="0.2">
      <c r="A1669" s="19"/>
      <c r="B1669" s="50"/>
      <c r="C1669" s="50"/>
      <c r="D1669" s="50"/>
      <c r="E1669" s="50"/>
      <c r="F1669" s="20"/>
    </row>
    <row r="1670" spans="1:6" s="1" customFormat="1" ht="15" x14ac:dyDescent="0.2">
      <c r="A1670" s="21" t="s">
        <v>186</v>
      </c>
      <c r="B1670" s="2" t="s">
        <v>187</v>
      </c>
      <c r="C1670" s="47"/>
      <c r="D1670" s="47"/>
      <c r="E1670" s="47"/>
      <c r="F1670" s="35"/>
    </row>
    <row r="1671" spans="1:6" s="1" customFormat="1" ht="15" x14ac:dyDescent="0.2">
      <c r="A1671" s="22" t="s">
        <v>539</v>
      </c>
      <c r="B1671" s="3">
        <f>8.57+6.43+5.43+13.1</f>
        <v>33.53</v>
      </c>
      <c r="C1671" s="70"/>
      <c r="D1671" s="70"/>
      <c r="E1671" s="45"/>
      <c r="F1671" s="34"/>
    </row>
    <row r="1672" spans="1:6" s="1" customFormat="1" ht="15" x14ac:dyDescent="0.2">
      <c r="A1672" s="21" t="s">
        <v>433</v>
      </c>
      <c r="B1672" s="2">
        <f>SUM(B1671:B1671)</f>
        <v>33.53</v>
      </c>
      <c r="C1672" s="46"/>
      <c r="D1672" s="46"/>
      <c r="E1672" s="43"/>
      <c r="F1672" s="86"/>
    </row>
    <row r="1673" spans="1:6" s="1" customFormat="1" ht="15" x14ac:dyDescent="0.2">
      <c r="A1673" s="19"/>
      <c r="B1673" s="50"/>
      <c r="C1673" s="50"/>
      <c r="D1673" s="50"/>
      <c r="E1673" s="50"/>
      <c r="F1673" s="20"/>
    </row>
    <row r="1674" spans="1:6" ht="39" customHeight="1" x14ac:dyDescent="0.2">
      <c r="A1674" s="80" t="s">
        <v>279</v>
      </c>
      <c r="B1674" s="348" t="s">
        <v>141</v>
      </c>
      <c r="C1674" s="348"/>
      <c r="D1674" s="348"/>
      <c r="E1674" s="25" t="s">
        <v>10</v>
      </c>
      <c r="F1674" s="93">
        <f>B1678</f>
        <v>9.9600000000000009</v>
      </c>
    </row>
    <row r="1675" spans="1:6" s="1" customFormat="1" ht="15" x14ac:dyDescent="0.2">
      <c r="A1675" s="19"/>
      <c r="B1675" s="50"/>
      <c r="C1675" s="50"/>
      <c r="D1675" s="50"/>
      <c r="E1675" s="50"/>
      <c r="F1675" s="20"/>
    </row>
    <row r="1676" spans="1:6" s="1" customFormat="1" ht="15" x14ac:dyDescent="0.2">
      <c r="A1676" s="21" t="s">
        <v>186</v>
      </c>
      <c r="B1676" s="2" t="s">
        <v>187</v>
      </c>
      <c r="C1676" s="47"/>
      <c r="D1676" s="47"/>
      <c r="E1676" s="47"/>
      <c r="F1676" s="35"/>
    </row>
    <row r="1677" spans="1:6" s="1" customFormat="1" ht="15" x14ac:dyDescent="0.2">
      <c r="A1677" s="22" t="s">
        <v>539</v>
      </c>
      <c r="B1677" s="3">
        <f>9.96</f>
        <v>9.9600000000000009</v>
      </c>
      <c r="C1677" s="70"/>
      <c r="D1677" s="70"/>
      <c r="E1677" s="45"/>
      <c r="F1677" s="34"/>
    </row>
    <row r="1678" spans="1:6" s="1" customFormat="1" ht="15" x14ac:dyDescent="0.2">
      <c r="A1678" s="21" t="s">
        <v>433</v>
      </c>
      <c r="B1678" s="2">
        <f>SUM(B1677:B1677)</f>
        <v>9.9600000000000009</v>
      </c>
      <c r="C1678" s="46"/>
      <c r="D1678" s="46"/>
      <c r="E1678" s="43"/>
      <c r="F1678" s="86"/>
    </row>
    <row r="1679" spans="1:6" s="1" customFormat="1" ht="15" x14ac:dyDescent="0.2">
      <c r="A1679" s="19"/>
      <c r="B1679" s="50"/>
      <c r="C1679" s="50"/>
      <c r="D1679" s="50"/>
      <c r="E1679" s="50"/>
      <c r="F1679" s="20"/>
    </row>
    <row r="1680" spans="1:6" ht="24" customHeight="1" x14ac:dyDescent="0.2">
      <c r="A1680" s="80" t="s">
        <v>280</v>
      </c>
      <c r="B1680" s="348" t="s">
        <v>143</v>
      </c>
      <c r="C1680" s="348"/>
      <c r="D1680" s="348"/>
      <c r="E1680" s="25" t="s">
        <v>10</v>
      </c>
      <c r="F1680" s="93">
        <f>B1683</f>
        <v>43.69</v>
      </c>
    </row>
    <row r="1681" spans="1:6" s="1" customFormat="1" ht="15" x14ac:dyDescent="0.2">
      <c r="A1681" s="19"/>
      <c r="B1681" s="50"/>
      <c r="C1681" s="50"/>
      <c r="D1681" s="50"/>
      <c r="E1681" s="50"/>
      <c r="F1681" s="20"/>
    </row>
    <row r="1682" spans="1:6" s="1" customFormat="1" ht="15" x14ac:dyDescent="0.2">
      <c r="A1682" s="21" t="s">
        <v>186</v>
      </c>
      <c r="B1682" s="2" t="s">
        <v>192</v>
      </c>
      <c r="C1682" s="43"/>
      <c r="D1682" s="43"/>
      <c r="E1682" s="43"/>
      <c r="F1682" s="33"/>
    </row>
    <row r="1683" spans="1:6" s="1" customFormat="1" ht="15" x14ac:dyDescent="0.2">
      <c r="A1683" s="22" t="s">
        <v>546</v>
      </c>
      <c r="B1683" s="3">
        <f>13.1+10.16+8.57+6.43+5.43</f>
        <v>43.69</v>
      </c>
      <c r="C1683" s="50"/>
      <c r="D1683" s="45"/>
      <c r="E1683" s="45"/>
      <c r="F1683" s="35"/>
    </row>
    <row r="1684" spans="1:6" s="1" customFormat="1" ht="15" x14ac:dyDescent="0.2">
      <c r="A1684" s="19"/>
      <c r="B1684" s="50"/>
      <c r="C1684" s="50"/>
      <c r="D1684" s="50"/>
      <c r="E1684" s="50"/>
      <c r="F1684" s="20"/>
    </row>
    <row r="1685" spans="1:6" ht="26.1" customHeight="1" x14ac:dyDescent="0.2">
      <c r="A1685" s="80" t="s">
        <v>281</v>
      </c>
      <c r="B1685" s="348" t="s">
        <v>144</v>
      </c>
      <c r="C1685" s="348"/>
      <c r="D1685" s="348"/>
      <c r="E1685" s="25" t="s">
        <v>13</v>
      </c>
      <c r="F1685" s="93">
        <f>E1688</f>
        <v>43.69</v>
      </c>
    </row>
    <row r="1686" spans="1:6" s="1" customFormat="1" ht="15" x14ac:dyDescent="0.2">
      <c r="A1686" s="19"/>
      <c r="B1686" s="50"/>
      <c r="C1686" s="50"/>
      <c r="D1686" s="50"/>
      <c r="E1686" s="50"/>
      <c r="F1686" s="20"/>
    </row>
    <row r="1687" spans="1:6" s="1" customFormat="1" ht="15" x14ac:dyDescent="0.2">
      <c r="A1687" s="21" t="s">
        <v>186</v>
      </c>
      <c r="B1687" s="2" t="s">
        <v>192</v>
      </c>
      <c r="C1687" s="2" t="s">
        <v>536</v>
      </c>
      <c r="D1687" s="2" t="s">
        <v>537</v>
      </c>
      <c r="E1687" s="2" t="s">
        <v>547</v>
      </c>
      <c r="F1687" s="33"/>
    </row>
    <row r="1688" spans="1:6" s="1" customFormat="1" ht="15" x14ac:dyDescent="0.2">
      <c r="A1688" s="22" t="s">
        <v>539</v>
      </c>
      <c r="B1688" s="3">
        <f>13.1+10.16+8.57+6.43+5.43</f>
        <v>43.69</v>
      </c>
      <c r="C1688" s="3">
        <v>1</v>
      </c>
      <c r="D1688" s="5">
        <v>0</v>
      </c>
      <c r="E1688" s="5">
        <f>B1688*C1688-D1688</f>
        <v>43.69</v>
      </c>
      <c r="F1688" s="35"/>
    </row>
    <row r="1689" spans="1:6" s="1" customFormat="1" ht="15" x14ac:dyDescent="0.2">
      <c r="A1689" s="19"/>
      <c r="B1689" s="50"/>
      <c r="C1689" s="50"/>
      <c r="D1689" s="50"/>
      <c r="E1689" s="50"/>
      <c r="F1689" s="20"/>
    </row>
    <row r="1690" spans="1:6" ht="24" customHeight="1" x14ac:dyDescent="0.2">
      <c r="A1690" s="81" t="s">
        <v>134</v>
      </c>
      <c r="B1690" s="349" t="s">
        <v>146</v>
      </c>
      <c r="C1690" s="349"/>
      <c r="D1690" s="349"/>
      <c r="E1690" s="54"/>
      <c r="F1690" s="132">
        <v>1</v>
      </c>
    </row>
    <row r="1691" spans="1:6" ht="24" customHeight="1" x14ac:dyDescent="0.2">
      <c r="A1691" s="81" t="s">
        <v>136</v>
      </c>
      <c r="B1691" s="349" t="s">
        <v>55</v>
      </c>
      <c r="C1691" s="349"/>
      <c r="D1691" s="349"/>
      <c r="E1691" s="54"/>
      <c r="F1691" s="132">
        <v>1</v>
      </c>
    </row>
    <row r="1692" spans="1:6" ht="39" customHeight="1" x14ac:dyDescent="0.2">
      <c r="A1692" s="80" t="s">
        <v>282</v>
      </c>
      <c r="B1692" s="348" t="s">
        <v>167</v>
      </c>
      <c r="C1692" s="348"/>
      <c r="D1692" s="348"/>
      <c r="E1692" s="25" t="s">
        <v>13</v>
      </c>
      <c r="F1692" s="93">
        <f>B1695</f>
        <v>118.97</v>
      </c>
    </row>
    <row r="1693" spans="1:6" s="1" customFormat="1" ht="15" x14ac:dyDescent="0.2">
      <c r="A1693" s="19"/>
      <c r="B1693" s="50"/>
      <c r="C1693" s="50"/>
      <c r="D1693" s="50"/>
      <c r="E1693" s="50"/>
      <c r="F1693" s="20"/>
    </row>
    <row r="1694" spans="1:6" s="1" customFormat="1" ht="15" x14ac:dyDescent="0.2">
      <c r="A1694" s="21" t="s">
        <v>186</v>
      </c>
      <c r="B1694" s="2" t="s">
        <v>334</v>
      </c>
      <c r="C1694" s="47"/>
      <c r="D1694" s="452" t="s">
        <v>548</v>
      </c>
      <c r="E1694" s="452"/>
      <c r="F1694" s="453"/>
    </row>
    <row r="1695" spans="1:6" s="1" customFormat="1" ht="15" x14ac:dyDescent="0.2">
      <c r="A1695" s="22" t="s">
        <v>539</v>
      </c>
      <c r="B1695" s="2">
        <v>118.97</v>
      </c>
      <c r="C1695" s="70"/>
      <c r="D1695" s="45"/>
      <c r="E1695" s="45"/>
      <c r="F1695" s="35"/>
    </row>
    <row r="1696" spans="1:6" s="1" customFormat="1" ht="15" x14ac:dyDescent="0.2">
      <c r="A1696" s="19"/>
      <c r="B1696" s="50"/>
      <c r="C1696" s="50"/>
      <c r="D1696" s="50"/>
      <c r="E1696" s="50"/>
      <c r="F1696" s="20"/>
    </row>
    <row r="1697" spans="1:6" ht="26.1" customHeight="1" x14ac:dyDescent="0.2">
      <c r="A1697" s="80" t="s">
        <v>283</v>
      </c>
      <c r="B1697" s="348" t="s">
        <v>51</v>
      </c>
      <c r="C1697" s="348"/>
      <c r="D1697" s="348"/>
      <c r="E1697" s="25" t="s">
        <v>13</v>
      </c>
      <c r="F1697" s="93">
        <f>B1700</f>
        <v>118.97</v>
      </c>
    </row>
    <row r="1698" spans="1:6" s="1" customFormat="1" ht="15" x14ac:dyDescent="0.2">
      <c r="A1698" s="19"/>
      <c r="B1698" s="50"/>
      <c r="C1698" s="50"/>
      <c r="D1698" s="50"/>
      <c r="E1698" s="50"/>
      <c r="F1698" s="20"/>
    </row>
    <row r="1699" spans="1:6" s="1" customFormat="1" ht="15" x14ac:dyDescent="0.2">
      <c r="A1699" s="21" t="s">
        <v>186</v>
      </c>
      <c r="B1699" s="2" t="s">
        <v>334</v>
      </c>
      <c r="C1699" s="47"/>
      <c r="D1699" s="452" t="s">
        <v>548</v>
      </c>
      <c r="E1699" s="452"/>
      <c r="F1699" s="453"/>
    </row>
    <row r="1700" spans="1:6" s="1" customFormat="1" ht="15" x14ac:dyDescent="0.2">
      <c r="A1700" s="22" t="s">
        <v>539</v>
      </c>
      <c r="B1700" s="2">
        <v>118.97</v>
      </c>
      <c r="C1700" s="70"/>
      <c r="D1700" s="45"/>
      <c r="E1700" s="45"/>
      <c r="F1700" s="35"/>
    </row>
    <row r="1701" spans="1:6" s="1" customFormat="1" ht="15" x14ac:dyDescent="0.2">
      <c r="A1701" s="19"/>
      <c r="B1701" s="50"/>
      <c r="C1701" s="50"/>
      <c r="D1701" s="50"/>
      <c r="E1701" s="50"/>
      <c r="F1701" s="20"/>
    </row>
    <row r="1702" spans="1:6" ht="26.1" customHeight="1" x14ac:dyDescent="0.2">
      <c r="A1702" s="80" t="s">
        <v>284</v>
      </c>
      <c r="B1702" s="348" t="s">
        <v>65</v>
      </c>
      <c r="C1702" s="348"/>
      <c r="D1702" s="348"/>
      <c r="E1702" s="25" t="s">
        <v>10</v>
      </c>
      <c r="F1702" s="93">
        <f>D1705</f>
        <v>39.489999999999995</v>
      </c>
    </row>
    <row r="1703" spans="1:6" s="1" customFormat="1" ht="15" x14ac:dyDescent="0.2">
      <c r="A1703" s="19"/>
      <c r="B1703" s="50"/>
      <c r="C1703" s="50"/>
      <c r="D1703" s="50"/>
      <c r="E1703" s="50"/>
      <c r="F1703" s="20"/>
    </row>
    <row r="1704" spans="1:6" s="1" customFormat="1" ht="15" x14ac:dyDescent="0.2">
      <c r="A1704" s="21" t="s">
        <v>186</v>
      </c>
      <c r="B1704" s="2" t="s">
        <v>192</v>
      </c>
      <c r="C1704" s="2" t="s">
        <v>549</v>
      </c>
      <c r="D1704" s="2" t="s">
        <v>550</v>
      </c>
      <c r="E1704" s="43"/>
      <c r="F1704" s="33"/>
    </row>
    <row r="1705" spans="1:6" s="1" customFormat="1" ht="15" x14ac:dyDescent="0.2">
      <c r="A1705" s="22" t="s">
        <v>539</v>
      </c>
      <c r="B1705" s="3">
        <f>13.1+10.16+8.57+6.43+5.43</f>
        <v>43.69</v>
      </c>
      <c r="C1705" s="5">
        <v>4.2</v>
      </c>
      <c r="D1705" s="5">
        <f>B1705-C1705</f>
        <v>39.489999999999995</v>
      </c>
      <c r="E1705" s="45"/>
      <c r="F1705" s="35"/>
    </row>
    <row r="1706" spans="1:6" s="1" customFormat="1" ht="15" x14ac:dyDescent="0.2">
      <c r="A1706" s="19"/>
      <c r="B1706" s="50"/>
      <c r="C1706" s="50"/>
      <c r="D1706" s="50"/>
      <c r="E1706" s="50"/>
      <c r="F1706" s="20"/>
    </row>
    <row r="1707" spans="1:6" ht="24" customHeight="1" x14ac:dyDescent="0.2">
      <c r="A1707" s="81" t="s">
        <v>137</v>
      </c>
      <c r="B1707" s="349" t="s">
        <v>45</v>
      </c>
      <c r="C1707" s="349"/>
      <c r="D1707" s="349"/>
      <c r="E1707" s="54"/>
      <c r="F1707" s="132">
        <v>1</v>
      </c>
    </row>
    <row r="1708" spans="1:6" ht="51.95" customHeight="1" x14ac:dyDescent="0.2">
      <c r="A1708" s="80" t="s">
        <v>285</v>
      </c>
      <c r="B1708" s="348" t="s">
        <v>47</v>
      </c>
      <c r="C1708" s="348"/>
      <c r="D1708" s="348"/>
      <c r="E1708" s="25" t="s">
        <v>13</v>
      </c>
      <c r="F1708" s="93">
        <f>F1713</f>
        <v>284.34399999999999</v>
      </c>
    </row>
    <row r="1709" spans="1:6" s="1" customFormat="1" ht="15" x14ac:dyDescent="0.2">
      <c r="A1709" s="19"/>
      <c r="B1709" s="50"/>
      <c r="C1709" s="50"/>
      <c r="D1709" s="50"/>
      <c r="E1709" s="50"/>
      <c r="F1709" s="20"/>
    </row>
    <row r="1710" spans="1:6" s="1" customFormat="1" ht="15" x14ac:dyDescent="0.2">
      <c r="A1710" s="21" t="s">
        <v>186</v>
      </c>
      <c r="B1710" s="2" t="s">
        <v>192</v>
      </c>
      <c r="C1710" s="2" t="s">
        <v>536</v>
      </c>
      <c r="D1710" s="2" t="s">
        <v>551</v>
      </c>
      <c r="E1710" s="2" t="s">
        <v>552</v>
      </c>
      <c r="F1710" s="28" t="s">
        <v>195</v>
      </c>
    </row>
    <row r="1711" spans="1:6" s="1" customFormat="1" ht="15" x14ac:dyDescent="0.2">
      <c r="A1711" s="22" t="s">
        <v>539</v>
      </c>
      <c r="B1711" s="3">
        <f>13.1+10.16+8.57+6.43+5.43</f>
        <v>43.69</v>
      </c>
      <c r="C1711" s="3">
        <v>3.3</v>
      </c>
      <c r="D1711" s="5">
        <f>(4.2*3+2.5*1.5*3)*2</f>
        <v>47.7</v>
      </c>
      <c r="E1711" s="5">
        <v>2</v>
      </c>
      <c r="F1711" s="29">
        <f>B1711*C1711*E1711-D1711</f>
        <v>240.654</v>
      </c>
    </row>
    <row r="1712" spans="1:6" s="1" customFormat="1" ht="15" x14ac:dyDescent="0.2">
      <c r="A1712" s="22" t="s">
        <v>553</v>
      </c>
      <c r="B1712" s="3">
        <f>13.1+10.16+8.57+6.43+5.43</f>
        <v>43.69</v>
      </c>
      <c r="C1712" s="3">
        <v>1</v>
      </c>
      <c r="D1712" s="5">
        <v>0</v>
      </c>
      <c r="E1712" s="5">
        <v>1</v>
      </c>
      <c r="F1712" s="29">
        <f>B1712*C1712*E1712-D1712</f>
        <v>43.69</v>
      </c>
    </row>
    <row r="1713" spans="1:6" s="1" customFormat="1" ht="15" x14ac:dyDescent="0.2">
      <c r="A1713" s="378" t="s">
        <v>195</v>
      </c>
      <c r="B1713" s="379"/>
      <c r="C1713" s="379"/>
      <c r="D1713" s="379"/>
      <c r="E1713" s="379"/>
      <c r="F1713" s="31">
        <f>SUM(F1711:F1712)</f>
        <v>284.34399999999999</v>
      </c>
    </row>
    <row r="1714" spans="1:6" s="1" customFormat="1" ht="15" x14ac:dyDescent="0.2">
      <c r="A1714" s="19"/>
      <c r="B1714" s="50"/>
      <c r="C1714" s="50"/>
      <c r="D1714" s="50"/>
      <c r="E1714" s="50"/>
      <c r="F1714" s="20"/>
    </row>
    <row r="1715" spans="1:6" ht="51.95" customHeight="1" x14ac:dyDescent="0.2">
      <c r="A1715" s="80" t="s">
        <v>286</v>
      </c>
      <c r="B1715" s="348" t="s">
        <v>49</v>
      </c>
      <c r="C1715" s="348"/>
      <c r="D1715" s="348"/>
      <c r="E1715" s="25" t="s">
        <v>13</v>
      </c>
      <c r="F1715" s="93">
        <f>F1720</f>
        <v>284.34399999999999</v>
      </c>
    </row>
    <row r="1716" spans="1:6" s="1" customFormat="1" ht="15" x14ac:dyDescent="0.2">
      <c r="A1716" s="19"/>
      <c r="B1716" s="50"/>
      <c r="C1716" s="50"/>
      <c r="D1716" s="50"/>
      <c r="E1716" s="50"/>
      <c r="F1716" s="20"/>
    </row>
    <row r="1717" spans="1:6" s="1" customFormat="1" ht="15" x14ac:dyDescent="0.2">
      <c r="A1717" s="21" t="s">
        <v>186</v>
      </c>
      <c r="B1717" s="2" t="s">
        <v>192</v>
      </c>
      <c r="C1717" s="2" t="s">
        <v>536</v>
      </c>
      <c r="D1717" s="2" t="s">
        <v>551</v>
      </c>
      <c r="E1717" s="2" t="s">
        <v>552</v>
      </c>
      <c r="F1717" s="28" t="s">
        <v>195</v>
      </c>
    </row>
    <row r="1718" spans="1:6" s="1" customFormat="1" ht="15" x14ac:dyDescent="0.2">
      <c r="A1718" s="22" t="s">
        <v>539</v>
      </c>
      <c r="B1718" s="3">
        <f>13.1+10.16+8.57+6.43+5.43</f>
        <v>43.69</v>
      </c>
      <c r="C1718" s="3">
        <v>3.3</v>
      </c>
      <c r="D1718" s="5">
        <f>(4.2*3+2.5*1.5*3)*2</f>
        <v>47.7</v>
      </c>
      <c r="E1718" s="5">
        <v>2</v>
      </c>
      <c r="F1718" s="29">
        <f>B1718*C1718*E1718-D1718</f>
        <v>240.654</v>
      </c>
    </row>
    <row r="1719" spans="1:6" s="1" customFormat="1" ht="15" x14ac:dyDescent="0.2">
      <c r="A1719" s="22" t="s">
        <v>553</v>
      </c>
      <c r="B1719" s="3">
        <f>13.1+10.16+8.57+6.43+5.43</f>
        <v>43.69</v>
      </c>
      <c r="C1719" s="3">
        <v>1</v>
      </c>
      <c r="D1719" s="5">
        <v>0</v>
      </c>
      <c r="E1719" s="5">
        <v>1</v>
      </c>
      <c r="F1719" s="29">
        <f>B1719*C1719*E1719-D1719</f>
        <v>43.69</v>
      </c>
    </row>
    <row r="1720" spans="1:6" s="1" customFormat="1" ht="15" x14ac:dyDescent="0.2">
      <c r="A1720" s="378" t="s">
        <v>195</v>
      </c>
      <c r="B1720" s="379"/>
      <c r="C1720" s="379"/>
      <c r="D1720" s="379"/>
      <c r="E1720" s="379"/>
      <c r="F1720" s="31">
        <f>SUM(F1718:F1719)</f>
        <v>284.34399999999999</v>
      </c>
    </row>
    <row r="1721" spans="1:6" s="1" customFormat="1" ht="15" x14ac:dyDescent="0.2">
      <c r="A1721" s="19"/>
      <c r="B1721" s="50"/>
      <c r="C1721" s="50"/>
      <c r="D1721" s="50"/>
      <c r="E1721" s="50"/>
      <c r="F1721" s="20"/>
    </row>
    <row r="1722" spans="1:6" ht="24" customHeight="1" x14ac:dyDescent="0.2">
      <c r="A1722" s="81" t="s">
        <v>139</v>
      </c>
      <c r="B1722" s="349" t="s">
        <v>67</v>
      </c>
      <c r="C1722" s="349"/>
      <c r="D1722" s="349"/>
      <c r="E1722" s="54"/>
      <c r="F1722" s="132">
        <v>1</v>
      </c>
    </row>
    <row r="1723" spans="1:6" ht="104.1" customHeight="1" x14ac:dyDescent="0.2">
      <c r="A1723" s="80" t="s">
        <v>287</v>
      </c>
      <c r="B1723" s="348" t="s">
        <v>69</v>
      </c>
      <c r="C1723" s="348"/>
      <c r="D1723" s="348"/>
      <c r="E1723" s="25" t="s">
        <v>13</v>
      </c>
      <c r="F1723" s="93">
        <f>B1726</f>
        <v>118.97</v>
      </c>
    </row>
    <row r="1724" spans="1:6" s="1" customFormat="1" ht="15" x14ac:dyDescent="0.2">
      <c r="A1724" s="19"/>
      <c r="B1724" s="50"/>
      <c r="C1724" s="50"/>
      <c r="D1724" s="50"/>
      <c r="E1724" s="50"/>
      <c r="F1724" s="20"/>
    </row>
    <row r="1725" spans="1:6" s="1" customFormat="1" ht="15" x14ac:dyDescent="0.2">
      <c r="A1725" s="21" t="s">
        <v>186</v>
      </c>
      <c r="B1725" s="2" t="s">
        <v>334</v>
      </c>
      <c r="C1725" s="47"/>
      <c r="D1725" s="452" t="s">
        <v>548</v>
      </c>
      <c r="E1725" s="452"/>
      <c r="F1725" s="453"/>
    </row>
    <row r="1726" spans="1:6" s="1" customFormat="1" ht="15" x14ac:dyDescent="0.2">
      <c r="A1726" s="22" t="s">
        <v>539</v>
      </c>
      <c r="B1726" s="2">
        <v>118.97</v>
      </c>
      <c r="C1726" s="70"/>
      <c r="D1726" s="45"/>
      <c r="E1726" s="45"/>
      <c r="F1726" s="35"/>
    </row>
    <row r="1727" spans="1:6" s="1" customFormat="1" ht="15" x14ac:dyDescent="0.2">
      <c r="A1727" s="19"/>
      <c r="B1727" s="50"/>
      <c r="C1727" s="50"/>
      <c r="D1727" s="50"/>
      <c r="E1727" s="50"/>
      <c r="F1727" s="20"/>
    </row>
    <row r="1728" spans="1:6" ht="24" customHeight="1" x14ac:dyDescent="0.2">
      <c r="A1728" s="81" t="s">
        <v>145</v>
      </c>
      <c r="B1728" s="349" t="s">
        <v>71</v>
      </c>
      <c r="C1728" s="349"/>
      <c r="D1728" s="349"/>
      <c r="E1728" s="54"/>
      <c r="F1728" s="132">
        <v>1</v>
      </c>
    </row>
    <row r="1729" spans="1:6" ht="26.1" customHeight="1" x14ac:dyDescent="0.2">
      <c r="A1729" s="80" t="s">
        <v>147</v>
      </c>
      <c r="B1729" s="348" t="s">
        <v>73</v>
      </c>
      <c r="C1729" s="348"/>
      <c r="D1729" s="348"/>
      <c r="E1729" s="25" t="s">
        <v>13</v>
      </c>
      <c r="F1729" s="93">
        <f>F1734</f>
        <v>284.34399999999999</v>
      </c>
    </row>
    <row r="1730" spans="1:6" s="1" customFormat="1" ht="15" x14ac:dyDescent="0.2">
      <c r="A1730" s="19"/>
      <c r="B1730" s="50"/>
      <c r="C1730" s="50"/>
      <c r="D1730" s="50"/>
      <c r="E1730" s="50"/>
      <c r="F1730" s="20"/>
    </row>
    <row r="1731" spans="1:6" s="1" customFormat="1" ht="15" x14ac:dyDescent="0.2">
      <c r="A1731" s="21" t="s">
        <v>186</v>
      </c>
      <c r="B1731" s="2" t="s">
        <v>192</v>
      </c>
      <c r="C1731" s="2" t="s">
        <v>536</v>
      </c>
      <c r="D1731" s="2" t="s">
        <v>551</v>
      </c>
      <c r="E1731" s="2" t="s">
        <v>552</v>
      </c>
      <c r="F1731" s="28" t="s">
        <v>195</v>
      </c>
    </row>
    <row r="1732" spans="1:6" s="1" customFormat="1" ht="15" x14ac:dyDescent="0.2">
      <c r="A1732" s="22" t="s">
        <v>539</v>
      </c>
      <c r="B1732" s="3">
        <f>13.1+10.16+8.57+6.43+5.43</f>
        <v>43.69</v>
      </c>
      <c r="C1732" s="3">
        <v>3.3</v>
      </c>
      <c r="D1732" s="5">
        <f>(4.2*3+2.5*1.5*3)*2</f>
        <v>47.7</v>
      </c>
      <c r="E1732" s="5">
        <v>2</v>
      </c>
      <c r="F1732" s="29">
        <f>B1732*C1732*E1732-D1732</f>
        <v>240.654</v>
      </c>
    </row>
    <row r="1733" spans="1:6" s="1" customFormat="1" ht="15" x14ac:dyDescent="0.2">
      <c r="A1733" s="22" t="s">
        <v>553</v>
      </c>
      <c r="B1733" s="3">
        <f>13.1+10.16+8.57+6.43+5.43</f>
        <v>43.69</v>
      </c>
      <c r="C1733" s="3">
        <v>1</v>
      </c>
      <c r="D1733" s="5">
        <v>0</v>
      </c>
      <c r="E1733" s="5">
        <v>1</v>
      </c>
      <c r="F1733" s="29">
        <f>B1733*C1733*E1733-D1733</f>
        <v>43.69</v>
      </c>
    </row>
    <row r="1734" spans="1:6" s="1" customFormat="1" ht="15" x14ac:dyDescent="0.2">
      <c r="A1734" s="378" t="s">
        <v>195</v>
      </c>
      <c r="B1734" s="379"/>
      <c r="C1734" s="379"/>
      <c r="D1734" s="379"/>
      <c r="E1734" s="379"/>
      <c r="F1734" s="31">
        <f>SUM(F1732:F1733)</f>
        <v>284.34399999999999</v>
      </c>
    </row>
    <row r="1735" spans="1:6" s="1" customFormat="1" ht="15" x14ac:dyDescent="0.2">
      <c r="A1735" s="19"/>
      <c r="B1735" s="50"/>
      <c r="C1735" s="50"/>
      <c r="D1735" s="50"/>
      <c r="E1735" s="50"/>
      <c r="F1735" s="20"/>
    </row>
    <row r="1736" spans="1:6" ht="39" customHeight="1" x14ac:dyDescent="0.2">
      <c r="A1736" s="80" t="s">
        <v>151</v>
      </c>
      <c r="B1736" s="348" t="s">
        <v>168</v>
      </c>
      <c r="C1736" s="348"/>
      <c r="D1736" s="348"/>
      <c r="E1736" s="25" t="s">
        <v>13</v>
      </c>
      <c r="F1736" s="93">
        <f>F1741</f>
        <v>284.34399999999999</v>
      </c>
    </row>
    <row r="1737" spans="1:6" s="1" customFormat="1" ht="15" x14ac:dyDescent="0.2">
      <c r="A1737" s="19"/>
      <c r="B1737" s="50"/>
      <c r="C1737" s="50"/>
      <c r="D1737" s="50"/>
      <c r="E1737" s="50"/>
      <c r="F1737" s="20"/>
    </row>
    <row r="1738" spans="1:6" s="1" customFormat="1" ht="15" x14ac:dyDescent="0.2">
      <c r="A1738" s="21" t="s">
        <v>186</v>
      </c>
      <c r="B1738" s="2" t="s">
        <v>192</v>
      </c>
      <c r="C1738" s="2" t="s">
        <v>536</v>
      </c>
      <c r="D1738" s="2" t="s">
        <v>551</v>
      </c>
      <c r="E1738" s="2" t="s">
        <v>552</v>
      </c>
      <c r="F1738" s="28" t="s">
        <v>195</v>
      </c>
    </row>
    <row r="1739" spans="1:6" s="1" customFormat="1" ht="15" x14ac:dyDescent="0.2">
      <c r="A1739" s="22" t="s">
        <v>539</v>
      </c>
      <c r="B1739" s="3">
        <f>13.1+10.16+8.57+6.43+5.43</f>
        <v>43.69</v>
      </c>
      <c r="C1739" s="3">
        <v>3.3</v>
      </c>
      <c r="D1739" s="5">
        <f>(4.2*3+2.5*1.5*3)*2</f>
        <v>47.7</v>
      </c>
      <c r="E1739" s="5">
        <v>2</v>
      </c>
      <c r="F1739" s="29">
        <f>B1739*C1739*E1739-D1739</f>
        <v>240.654</v>
      </c>
    </row>
    <row r="1740" spans="1:6" s="1" customFormat="1" ht="15" x14ac:dyDescent="0.2">
      <c r="A1740" s="22" t="s">
        <v>553</v>
      </c>
      <c r="B1740" s="3">
        <f>13.1+10.16+8.57+6.43+5.43</f>
        <v>43.69</v>
      </c>
      <c r="C1740" s="3">
        <v>1</v>
      </c>
      <c r="D1740" s="5">
        <v>0</v>
      </c>
      <c r="E1740" s="5">
        <v>1</v>
      </c>
      <c r="F1740" s="29">
        <f>B1740*C1740*E1740-D1740</f>
        <v>43.69</v>
      </c>
    </row>
    <row r="1741" spans="1:6" s="1" customFormat="1" ht="15" x14ac:dyDescent="0.2">
      <c r="A1741" s="378" t="s">
        <v>195</v>
      </c>
      <c r="B1741" s="379"/>
      <c r="C1741" s="379"/>
      <c r="D1741" s="379"/>
      <c r="E1741" s="379"/>
      <c r="F1741" s="31">
        <f>SUM(F1739:F1740)</f>
        <v>284.34399999999999</v>
      </c>
    </row>
    <row r="1742" spans="1:6" s="1" customFormat="1" ht="15" x14ac:dyDescent="0.2">
      <c r="A1742" s="19"/>
      <c r="B1742" s="50"/>
      <c r="C1742" s="50"/>
      <c r="D1742" s="50"/>
      <c r="E1742" s="50"/>
      <c r="F1742" s="20"/>
    </row>
    <row r="1743" spans="1:6" ht="39" customHeight="1" x14ac:dyDescent="0.2">
      <c r="A1743" s="80" t="s">
        <v>153</v>
      </c>
      <c r="B1743" s="348" t="s">
        <v>77</v>
      </c>
      <c r="C1743" s="348"/>
      <c r="D1743" s="348"/>
      <c r="E1743" s="25" t="s">
        <v>13</v>
      </c>
      <c r="F1743" s="93">
        <f>F1748</f>
        <v>284.34399999999999</v>
      </c>
    </row>
    <row r="1744" spans="1:6" s="1" customFormat="1" ht="15" x14ac:dyDescent="0.2">
      <c r="A1744" s="19"/>
      <c r="B1744" s="50"/>
      <c r="C1744" s="50"/>
      <c r="D1744" s="50"/>
      <c r="E1744" s="50"/>
      <c r="F1744" s="20"/>
    </row>
    <row r="1745" spans="1:6" s="1" customFormat="1" ht="15" x14ac:dyDescent="0.2">
      <c r="A1745" s="21" t="s">
        <v>186</v>
      </c>
      <c r="B1745" s="2" t="s">
        <v>192</v>
      </c>
      <c r="C1745" s="2" t="s">
        <v>536</v>
      </c>
      <c r="D1745" s="2" t="s">
        <v>551</v>
      </c>
      <c r="E1745" s="2" t="s">
        <v>552</v>
      </c>
      <c r="F1745" s="28" t="s">
        <v>195</v>
      </c>
    </row>
    <row r="1746" spans="1:6" s="1" customFormat="1" ht="15" x14ac:dyDescent="0.2">
      <c r="A1746" s="22" t="s">
        <v>539</v>
      </c>
      <c r="B1746" s="3">
        <f>13.1+10.16+8.57+6.43+5.43</f>
        <v>43.69</v>
      </c>
      <c r="C1746" s="3">
        <v>3.3</v>
      </c>
      <c r="D1746" s="5">
        <f>(4.2*3+2.5*1.5*3)*2</f>
        <v>47.7</v>
      </c>
      <c r="E1746" s="5">
        <v>2</v>
      </c>
      <c r="F1746" s="29">
        <f>B1746*C1746*E1746-D1746</f>
        <v>240.654</v>
      </c>
    </row>
    <row r="1747" spans="1:6" s="1" customFormat="1" ht="15" x14ac:dyDescent="0.2">
      <c r="A1747" s="22" t="s">
        <v>553</v>
      </c>
      <c r="B1747" s="3">
        <f>13.1+10.16+8.57+6.43+5.43</f>
        <v>43.69</v>
      </c>
      <c r="C1747" s="3">
        <v>1</v>
      </c>
      <c r="D1747" s="5">
        <v>0</v>
      </c>
      <c r="E1747" s="5">
        <v>1</v>
      </c>
      <c r="F1747" s="29">
        <f>B1747*C1747*E1747-D1747</f>
        <v>43.69</v>
      </c>
    </row>
    <row r="1748" spans="1:6" s="1" customFormat="1" ht="15" x14ac:dyDescent="0.2">
      <c r="A1748" s="378" t="s">
        <v>195</v>
      </c>
      <c r="B1748" s="379"/>
      <c r="C1748" s="379"/>
      <c r="D1748" s="379"/>
      <c r="E1748" s="379"/>
      <c r="F1748" s="31">
        <f>SUM(F1746:F1747)</f>
        <v>284.34399999999999</v>
      </c>
    </row>
    <row r="1749" spans="1:6" s="1" customFormat="1" ht="15" x14ac:dyDescent="0.2">
      <c r="A1749" s="19"/>
      <c r="B1749" s="50"/>
      <c r="C1749" s="50"/>
      <c r="D1749" s="50"/>
      <c r="E1749" s="50"/>
      <c r="F1749" s="20"/>
    </row>
    <row r="1750" spans="1:6" ht="24" customHeight="1" x14ac:dyDescent="0.2">
      <c r="A1750" s="81" t="s">
        <v>288</v>
      </c>
      <c r="B1750" s="349" t="s">
        <v>79</v>
      </c>
      <c r="C1750" s="349"/>
      <c r="D1750" s="349"/>
      <c r="E1750" s="54"/>
      <c r="F1750" s="132">
        <v>1</v>
      </c>
    </row>
    <row r="1751" spans="1:6" ht="39" customHeight="1" x14ac:dyDescent="0.2">
      <c r="A1751" s="80" t="s">
        <v>289</v>
      </c>
      <c r="B1751" s="348" t="s">
        <v>169</v>
      </c>
      <c r="C1751" s="348"/>
      <c r="D1751" s="348"/>
      <c r="E1751" s="25" t="s">
        <v>13</v>
      </c>
      <c r="F1751" s="93">
        <f>E1754</f>
        <v>12.600000000000001</v>
      </c>
    </row>
    <row r="1752" spans="1:6" s="1" customFormat="1" ht="15" x14ac:dyDescent="0.2">
      <c r="A1752" s="19"/>
      <c r="B1752" s="50"/>
      <c r="C1752" s="50"/>
      <c r="D1752" s="50"/>
      <c r="E1752" s="50"/>
      <c r="F1752" s="20"/>
    </row>
    <row r="1753" spans="1:6" s="1" customFormat="1" ht="15" x14ac:dyDescent="0.2">
      <c r="A1753" s="21" t="s">
        <v>79</v>
      </c>
      <c r="B1753" s="2" t="s">
        <v>188</v>
      </c>
      <c r="C1753" s="2" t="s">
        <v>189</v>
      </c>
      <c r="D1753" s="2" t="s">
        <v>305</v>
      </c>
      <c r="E1753" s="2" t="s">
        <v>195</v>
      </c>
      <c r="F1753" s="33"/>
    </row>
    <row r="1754" spans="1:6" s="1" customFormat="1" ht="15" x14ac:dyDescent="0.2">
      <c r="A1754" s="22" t="s">
        <v>542</v>
      </c>
      <c r="B1754" s="3">
        <v>4.2</v>
      </c>
      <c r="C1754" s="3">
        <v>3</v>
      </c>
      <c r="D1754" s="5">
        <v>1</v>
      </c>
      <c r="E1754" s="23">
        <f>B1754*C1754*D1754</f>
        <v>12.600000000000001</v>
      </c>
      <c r="F1754" s="94"/>
    </row>
    <row r="1755" spans="1:6" s="1" customFormat="1" ht="15" x14ac:dyDescent="0.2">
      <c r="A1755" s="19"/>
      <c r="B1755" s="50"/>
      <c r="C1755" s="50"/>
      <c r="D1755" s="50"/>
      <c r="E1755" s="50"/>
      <c r="F1755" s="20"/>
    </row>
    <row r="1756" spans="1:6" ht="51.95" customHeight="1" x14ac:dyDescent="0.2">
      <c r="A1756" s="80" t="s">
        <v>290</v>
      </c>
      <c r="B1756" s="348" t="s">
        <v>170</v>
      </c>
      <c r="C1756" s="348"/>
      <c r="D1756" s="348"/>
      <c r="E1756" s="25" t="s">
        <v>13</v>
      </c>
      <c r="F1756" s="93">
        <f>E1759</f>
        <v>11.25</v>
      </c>
    </row>
    <row r="1757" spans="1:6" s="1" customFormat="1" ht="15" x14ac:dyDescent="0.2">
      <c r="A1757" s="19"/>
      <c r="B1757" s="50"/>
      <c r="C1757" s="50"/>
      <c r="D1757" s="50"/>
      <c r="E1757" s="50"/>
      <c r="F1757" s="20"/>
    </row>
    <row r="1758" spans="1:6" s="1" customFormat="1" ht="15" x14ac:dyDescent="0.2">
      <c r="A1758" s="21" t="s">
        <v>79</v>
      </c>
      <c r="B1758" s="2" t="s">
        <v>188</v>
      </c>
      <c r="C1758" s="2" t="s">
        <v>189</v>
      </c>
      <c r="D1758" s="2" t="s">
        <v>305</v>
      </c>
      <c r="E1758" s="2" t="s">
        <v>195</v>
      </c>
      <c r="F1758" s="33"/>
    </row>
    <row r="1759" spans="1:6" s="1" customFormat="1" ht="15" x14ac:dyDescent="0.2">
      <c r="A1759" s="22" t="s">
        <v>541</v>
      </c>
      <c r="B1759" s="3">
        <v>2.5</v>
      </c>
      <c r="C1759" s="3">
        <v>1.5</v>
      </c>
      <c r="D1759" s="5">
        <v>3</v>
      </c>
      <c r="E1759" s="23">
        <f>B1759*C1759*D1759</f>
        <v>11.25</v>
      </c>
      <c r="F1759" s="94"/>
    </row>
    <row r="1760" spans="1:6" s="1" customFormat="1" ht="15" x14ac:dyDescent="0.2">
      <c r="A1760" s="19"/>
      <c r="B1760" s="50"/>
      <c r="C1760" s="50"/>
      <c r="D1760" s="50"/>
      <c r="E1760" s="50"/>
      <c r="F1760" s="20"/>
    </row>
    <row r="1761" spans="1:6" ht="24" customHeight="1" x14ac:dyDescent="0.2">
      <c r="A1761" s="81" t="s">
        <v>504</v>
      </c>
      <c r="B1761" s="349" t="s">
        <v>505</v>
      </c>
      <c r="C1761" s="349"/>
      <c r="D1761" s="349"/>
      <c r="E1761" s="54"/>
      <c r="F1761" s="132">
        <v>1</v>
      </c>
    </row>
    <row r="1762" spans="1:6" s="1" customFormat="1" ht="15" x14ac:dyDescent="0.2">
      <c r="A1762" s="356" t="s">
        <v>985</v>
      </c>
      <c r="B1762" s="357"/>
      <c r="C1762" s="357"/>
      <c r="D1762" s="357"/>
      <c r="E1762" s="357"/>
      <c r="F1762" s="358"/>
    </row>
    <row r="1763" spans="1:6" ht="24" customHeight="1" x14ac:dyDescent="0.2">
      <c r="A1763" s="80" t="s">
        <v>918</v>
      </c>
      <c r="B1763" s="427" t="s">
        <v>917</v>
      </c>
      <c r="C1763" s="428"/>
      <c r="D1763" s="429"/>
      <c r="E1763" s="25" t="s">
        <v>33</v>
      </c>
      <c r="F1763" s="93">
        <v>8</v>
      </c>
    </row>
    <row r="1764" spans="1:6" ht="39" customHeight="1" x14ac:dyDescent="0.2">
      <c r="A1764" s="80" t="s">
        <v>916</v>
      </c>
      <c r="B1764" s="427" t="s">
        <v>667</v>
      </c>
      <c r="C1764" s="428"/>
      <c r="D1764" s="429"/>
      <c r="E1764" s="25" t="s">
        <v>33</v>
      </c>
      <c r="F1764" s="93">
        <v>2</v>
      </c>
    </row>
    <row r="1765" spans="1:6" ht="39" customHeight="1" x14ac:dyDescent="0.2">
      <c r="A1765" s="80" t="s">
        <v>915</v>
      </c>
      <c r="B1765" s="427" t="s">
        <v>914</v>
      </c>
      <c r="C1765" s="428"/>
      <c r="D1765" s="429"/>
      <c r="E1765" s="25" t="s">
        <v>33</v>
      </c>
      <c r="F1765" s="93">
        <v>4</v>
      </c>
    </row>
    <row r="1766" spans="1:6" ht="39" customHeight="1" x14ac:dyDescent="0.2">
      <c r="A1766" s="80" t="s">
        <v>913</v>
      </c>
      <c r="B1766" s="427" t="s">
        <v>912</v>
      </c>
      <c r="C1766" s="428"/>
      <c r="D1766" s="429"/>
      <c r="E1766" s="25" t="s">
        <v>33</v>
      </c>
      <c r="F1766" s="93">
        <v>9</v>
      </c>
    </row>
    <row r="1767" spans="1:6" ht="39" customHeight="1" x14ac:dyDescent="0.2">
      <c r="A1767" s="80" t="s">
        <v>911</v>
      </c>
      <c r="B1767" s="427" t="s">
        <v>910</v>
      </c>
      <c r="C1767" s="428"/>
      <c r="D1767" s="429"/>
      <c r="E1767" s="25" t="s">
        <v>10</v>
      </c>
      <c r="F1767" s="93">
        <v>352</v>
      </c>
    </row>
    <row r="1768" spans="1:6" ht="24" customHeight="1" x14ac:dyDescent="0.2">
      <c r="A1768" s="80" t="s">
        <v>909</v>
      </c>
      <c r="B1768" s="427" t="s">
        <v>908</v>
      </c>
      <c r="C1768" s="428"/>
      <c r="D1768" s="429"/>
      <c r="E1768" s="25" t="s">
        <v>33</v>
      </c>
      <c r="F1768" s="93">
        <v>7</v>
      </c>
    </row>
    <row r="1769" spans="1:6" ht="24" customHeight="1" x14ac:dyDescent="0.2">
      <c r="A1769" s="80" t="s">
        <v>907</v>
      </c>
      <c r="B1769" s="427" t="s">
        <v>661</v>
      </c>
      <c r="C1769" s="428"/>
      <c r="D1769" s="429"/>
      <c r="E1769" s="25" t="s">
        <v>10</v>
      </c>
      <c r="F1769" s="93">
        <v>40</v>
      </c>
    </row>
    <row r="1770" spans="1:6" ht="24" customHeight="1" x14ac:dyDescent="0.2">
      <c r="A1770" s="80" t="s">
        <v>906</v>
      </c>
      <c r="B1770" s="427" t="s">
        <v>905</v>
      </c>
      <c r="C1770" s="428"/>
      <c r="D1770" s="429"/>
      <c r="E1770" s="25" t="s">
        <v>904</v>
      </c>
      <c r="F1770" s="93">
        <v>22</v>
      </c>
    </row>
    <row r="1771" spans="1:6" ht="24" customHeight="1" x14ac:dyDescent="0.2">
      <c r="A1771" s="57" t="s">
        <v>162</v>
      </c>
      <c r="B1771" s="388" t="s">
        <v>172</v>
      </c>
      <c r="C1771" s="388"/>
      <c r="D1771" s="388"/>
      <c r="E1771" s="6"/>
      <c r="F1771" s="58">
        <v>1</v>
      </c>
    </row>
    <row r="1772" spans="1:6" x14ac:dyDescent="0.2">
      <c r="A1772" s="81" t="s">
        <v>554</v>
      </c>
      <c r="B1772" s="349" t="s">
        <v>25</v>
      </c>
      <c r="C1772" s="349"/>
      <c r="D1772" s="349"/>
      <c r="E1772" s="54"/>
      <c r="F1772" s="132">
        <v>1</v>
      </c>
    </row>
    <row r="1773" spans="1:6" ht="24" customHeight="1" x14ac:dyDescent="0.2">
      <c r="A1773" s="80" t="s">
        <v>555</v>
      </c>
      <c r="B1773" s="348" t="s">
        <v>556</v>
      </c>
      <c r="C1773" s="348"/>
      <c r="D1773" s="348"/>
      <c r="E1773" s="25" t="s">
        <v>13</v>
      </c>
      <c r="F1773" s="93">
        <f>B1794</f>
        <v>454.68000000000006</v>
      </c>
    </row>
    <row r="1774" spans="1:6" s="1" customFormat="1" ht="15" x14ac:dyDescent="0.2">
      <c r="A1774" s="19"/>
      <c r="B1774" s="50"/>
      <c r="C1774" s="50"/>
      <c r="D1774" s="50"/>
      <c r="E1774" s="50"/>
      <c r="F1774" s="20"/>
    </row>
    <row r="1775" spans="1:6" s="1" customFormat="1" ht="15" x14ac:dyDescent="0.2">
      <c r="A1775" s="21" t="s">
        <v>186</v>
      </c>
      <c r="B1775" s="2" t="s">
        <v>334</v>
      </c>
      <c r="C1775" s="43"/>
      <c r="D1775" s="43"/>
      <c r="E1775" s="43"/>
      <c r="F1775" s="33"/>
    </row>
    <row r="1776" spans="1:6" s="1" customFormat="1" ht="25.5" customHeight="1" x14ac:dyDescent="0.2">
      <c r="A1776" s="353" t="s">
        <v>725</v>
      </c>
      <c r="B1776" s="3">
        <f>188.27</f>
        <v>188.27</v>
      </c>
      <c r="C1776" s="50"/>
      <c r="D1776" s="45"/>
      <c r="E1776" s="45"/>
      <c r="F1776" s="34"/>
    </row>
    <row r="1777" spans="1:6" s="1" customFormat="1" ht="15" x14ac:dyDescent="0.2">
      <c r="A1777" s="370"/>
      <c r="B1777" s="3">
        <v>2.54</v>
      </c>
      <c r="C1777" s="50"/>
      <c r="D1777" s="45"/>
      <c r="E1777" s="45"/>
      <c r="F1777" s="34"/>
    </row>
    <row r="1778" spans="1:6" s="1" customFormat="1" ht="15" x14ac:dyDescent="0.2">
      <c r="A1778" s="370"/>
      <c r="B1778" s="3">
        <v>27.18</v>
      </c>
      <c r="C1778" s="50"/>
      <c r="D1778" s="45"/>
      <c r="E1778" s="45"/>
      <c r="F1778" s="34"/>
    </row>
    <row r="1779" spans="1:6" s="1" customFormat="1" ht="15" x14ac:dyDescent="0.2">
      <c r="A1779" s="370"/>
      <c r="B1779" s="3">
        <v>18.75</v>
      </c>
      <c r="C1779" s="50"/>
      <c r="D1779" s="45"/>
      <c r="E1779" s="45"/>
      <c r="F1779" s="34"/>
    </row>
    <row r="1780" spans="1:6" s="1" customFormat="1" ht="15" x14ac:dyDescent="0.2">
      <c r="A1780" s="370"/>
      <c r="B1780" s="3">
        <v>10.98</v>
      </c>
      <c r="C1780" s="50"/>
      <c r="D1780" s="45"/>
      <c r="E1780" s="45"/>
      <c r="F1780" s="34"/>
    </row>
    <row r="1781" spans="1:6" s="1" customFormat="1" ht="15" x14ac:dyDescent="0.2">
      <c r="A1781" s="370"/>
      <c r="B1781" s="3">
        <v>7.45</v>
      </c>
      <c r="C1781" s="50"/>
      <c r="D1781" s="45"/>
      <c r="E1781" s="45"/>
      <c r="F1781" s="34"/>
    </row>
    <row r="1782" spans="1:6" s="1" customFormat="1" ht="15" x14ac:dyDescent="0.2">
      <c r="A1782" s="370"/>
      <c r="B1782" s="3">
        <v>1.44</v>
      </c>
      <c r="C1782" s="50"/>
      <c r="D1782" s="45"/>
      <c r="E1782" s="45"/>
      <c r="F1782" s="34"/>
    </row>
    <row r="1783" spans="1:6" s="1" customFormat="1" ht="15" x14ac:dyDescent="0.2">
      <c r="A1783" s="370"/>
      <c r="B1783" s="3">
        <v>5.46</v>
      </c>
      <c r="C1783" s="50"/>
      <c r="D1783" s="45"/>
      <c r="E1783" s="45"/>
      <c r="F1783" s="34"/>
    </row>
    <row r="1784" spans="1:6" s="1" customFormat="1" ht="15" x14ac:dyDescent="0.2">
      <c r="A1784" s="370"/>
      <c r="B1784" s="3">
        <v>2.16</v>
      </c>
      <c r="C1784" s="50"/>
      <c r="D1784" s="45"/>
      <c r="E1784" s="45"/>
      <c r="F1784" s="34"/>
    </row>
    <row r="1785" spans="1:6" s="1" customFormat="1" ht="15" x14ac:dyDescent="0.2">
      <c r="A1785" s="370"/>
      <c r="B1785" s="3">
        <v>48.25</v>
      </c>
      <c r="C1785" s="50"/>
      <c r="D1785" s="45"/>
      <c r="E1785" s="45"/>
      <c r="F1785" s="34"/>
    </row>
    <row r="1786" spans="1:6" s="1" customFormat="1" ht="15" x14ac:dyDescent="0.2">
      <c r="A1786" s="370"/>
      <c r="B1786" s="3">
        <v>26.86</v>
      </c>
      <c r="C1786" s="50"/>
      <c r="D1786" s="45"/>
      <c r="E1786" s="45"/>
      <c r="F1786" s="34"/>
    </row>
    <row r="1787" spans="1:6" s="1" customFormat="1" ht="15" x14ac:dyDescent="0.2">
      <c r="A1787" s="370"/>
      <c r="B1787" s="3">
        <v>9.9</v>
      </c>
      <c r="C1787" s="50"/>
      <c r="D1787" s="45"/>
      <c r="E1787" s="45"/>
      <c r="F1787" s="34"/>
    </row>
    <row r="1788" spans="1:6" s="1" customFormat="1" ht="15" x14ac:dyDescent="0.2">
      <c r="A1788" s="370"/>
      <c r="B1788" s="3">
        <v>5.52</v>
      </c>
      <c r="C1788" s="50"/>
      <c r="D1788" s="45"/>
      <c r="E1788" s="45"/>
      <c r="F1788" s="34"/>
    </row>
    <row r="1789" spans="1:6" s="1" customFormat="1" ht="15" x14ac:dyDescent="0.2">
      <c r="A1789" s="370"/>
      <c r="B1789" s="3">
        <v>40.17</v>
      </c>
      <c r="C1789" s="50"/>
      <c r="D1789" s="45"/>
      <c r="E1789" s="45"/>
      <c r="F1789" s="34"/>
    </row>
    <row r="1790" spans="1:6" s="1" customFormat="1" ht="15" x14ac:dyDescent="0.2">
      <c r="A1790" s="370"/>
      <c r="B1790" s="3">
        <v>12.36</v>
      </c>
      <c r="C1790" s="50"/>
      <c r="D1790" s="45"/>
      <c r="E1790" s="45"/>
      <c r="F1790" s="34"/>
    </row>
    <row r="1791" spans="1:6" s="1" customFormat="1" ht="15" x14ac:dyDescent="0.2">
      <c r="A1791" s="370"/>
      <c r="B1791" s="3">
        <v>5.41</v>
      </c>
      <c r="C1791" s="50"/>
      <c r="D1791" s="45"/>
      <c r="E1791" s="45"/>
      <c r="F1791" s="34"/>
    </row>
    <row r="1792" spans="1:6" s="1" customFormat="1" ht="15" x14ac:dyDescent="0.2">
      <c r="A1792" s="370"/>
      <c r="B1792" s="3">
        <v>6.55</v>
      </c>
      <c r="C1792" s="50"/>
      <c r="D1792" s="45"/>
      <c r="E1792" s="45"/>
      <c r="F1792" s="34"/>
    </row>
    <row r="1793" spans="1:6" s="1" customFormat="1" ht="15" x14ac:dyDescent="0.2">
      <c r="A1793" s="354"/>
      <c r="B1793" s="3">
        <v>35.43</v>
      </c>
      <c r="C1793" s="50"/>
      <c r="D1793" s="45"/>
      <c r="E1793" s="45"/>
      <c r="F1793" s="34"/>
    </row>
    <row r="1794" spans="1:6" s="1" customFormat="1" ht="15" x14ac:dyDescent="0.2">
      <c r="A1794" s="95" t="s">
        <v>195</v>
      </c>
      <c r="B1794" s="2">
        <f>SUM(B1776:B1793)</f>
        <v>454.68000000000006</v>
      </c>
      <c r="C1794" s="96"/>
      <c r="D1794" s="96"/>
      <c r="E1794" s="50"/>
      <c r="F1794" s="35"/>
    </row>
    <row r="1795" spans="1:6" s="1" customFormat="1" ht="15" x14ac:dyDescent="0.2">
      <c r="A1795" s="19"/>
      <c r="B1795" s="50"/>
      <c r="C1795" s="50"/>
      <c r="D1795" s="50"/>
      <c r="E1795" s="50"/>
      <c r="F1795" s="20"/>
    </row>
    <row r="1796" spans="1:6" ht="39" customHeight="1" x14ac:dyDescent="0.2">
      <c r="A1796" s="80" t="s">
        <v>557</v>
      </c>
      <c r="B1796" s="348" t="s">
        <v>112</v>
      </c>
      <c r="C1796" s="348"/>
      <c r="D1796" s="348"/>
      <c r="E1796" s="25" t="s">
        <v>19</v>
      </c>
      <c r="F1796" s="93">
        <f>D1804</f>
        <v>24.334399999999999</v>
      </c>
    </row>
    <row r="1797" spans="1:6" s="1" customFormat="1" ht="15" x14ac:dyDescent="0.2">
      <c r="A1797" s="19"/>
      <c r="B1797" s="50"/>
      <c r="C1797" s="50"/>
      <c r="D1797" s="50"/>
      <c r="E1797" s="50"/>
      <c r="F1797" s="20"/>
    </row>
    <row r="1798" spans="1:6" s="1" customFormat="1" ht="26.25" customHeight="1" x14ac:dyDescent="0.2">
      <c r="A1798" s="21" t="s">
        <v>725</v>
      </c>
      <c r="B1798" s="2" t="s">
        <v>334</v>
      </c>
      <c r="C1798" s="2" t="s">
        <v>369</v>
      </c>
      <c r="D1798" s="2" t="s">
        <v>190</v>
      </c>
      <c r="E1798" s="43"/>
      <c r="F1798" s="33"/>
    </row>
    <row r="1799" spans="1:6" s="1" customFormat="1" ht="25.5" customHeight="1" x14ac:dyDescent="0.2">
      <c r="A1799" s="97" t="s">
        <v>726</v>
      </c>
      <c r="B1799" s="3">
        <f>19.29+236.95</f>
        <v>256.24</v>
      </c>
      <c r="C1799" s="3">
        <v>0.06</v>
      </c>
      <c r="D1799" s="3">
        <f>B1799*C1799</f>
        <v>15.3744</v>
      </c>
      <c r="E1799" s="45"/>
      <c r="F1799" s="34"/>
    </row>
    <row r="1800" spans="1:6" s="1" customFormat="1" ht="15" x14ac:dyDescent="0.2">
      <c r="A1800" s="97" t="s">
        <v>727</v>
      </c>
      <c r="B1800" s="3"/>
      <c r="C1800" s="3"/>
      <c r="D1800" s="3">
        <v>0.53</v>
      </c>
      <c r="E1800" s="45"/>
      <c r="F1800" s="34"/>
    </row>
    <row r="1801" spans="1:6" s="1" customFormat="1" ht="15" x14ac:dyDescent="0.2">
      <c r="A1801" s="97" t="s">
        <v>728</v>
      </c>
      <c r="B1801" s="3"/>
      <c r="C1801" s="3"/>
      <c r="D1801" s="3">
        <f>4.8</f>
        <v>4.8</v>
      </c>
      <c r="E1801" s="45"/>
      <c r="F1801" s="34"/>
    </row>
    <row r="1802" spans="1:6" s="1" customFormat="1" ht="15" x14ac:dyDescent="0.2">
      <c r="A1802" s="97" t="s">
        <v>729</v>
      </c>
      <c r="B1802" s="3"/>
      <c r="C1802" s="3"/>
      <c r="D1802" s="3">
        <f>2.43</f>
        <v>2.4300000000000002</v>
      </c>
      <c r="E1802" s="45"/>
      <c r="F1802" s="34"/>
    </row>
    <row r="1803" spans="1:6" s="1" customFormat="1" ht="15" x14ac:dyDescent="0.2">
      <c r="A1803" s="97" t="s">
        <v>761</v>
      </c>
      <c r="B1803" s="3">
        <f>3*2</f>
        <v>6</v>
      </c>
      <c r="C1803" s="3">
        <v>0.2</v>
      </c>
      <c r="D1803" s="3">
        <f>B1803*C1803</f>
        <v>1.2000000000000002</v>
      </c>
      <c r="E1803" s="45"/>
      <c r="F1803" s="34"/>
    </row>
    <row r="1804" spans="1:6" s="1" customFormat="1" ht="15" x14ac:dyDescent="0.2">
      <c r="A1804" s="355" t="s">
        <v>240</v>
      </c>
      <c r="B1804" s="350"/>
      <c r="C1804" s="350"/>
      <c r="D1804" s="3">
        <f>SUM(D1799:D1803)</f>
        <v>24.334399999999999</v>
      </c>
      <c r="E1804" s="50"/>
      <c r="F1804" s="35"/>
    </row>
    <row r="1805" spans="1:6" s="1" customFormat="1" ht="15" x14ac:dyDescent="0.2">
      <c r="A1805" s="19"/>
      <c r="B1805" s="50"/>
      <c r="C1805" s="50"/>
      <c r="D1805" s="50"/>
      <c r="E1805" s="50"/>
      <c r="F1805" s="20"/>
    </row>
    <row r="1806" spans="1:6" ht="26.1" customHeight="1" x14ac:dyDescent="0.2">
      <c r="A1806" s="80" t="s">
        <v>558</v>
      </c>
      <c r="B1806" s="348" t="s">
        <v>118</v>
      </c>
      <c r="C1806" s="348"/>
      <c r="D1806" s="348"/>
      <c r="E1806" s="25" t="s">
        <v>13</v>
      </c>
      <c r="F1806" s="93">
        <f>B1817</f>
        <v>2539.9</v>
      </c>
    </row>
    <row r="1807" spans="1:6" s="1" customFormat="1" ht="15" x14ac:dyDescent="0.2">
      <c r="A1807" s="19"/>
      <c r="B1807" s="50"/>
      <c r="C1807" s="50"/>
      <c r="D1807" s="50"/>
      <c r="E1807" s="50"/>
      <c r="F1807" s="20"/>
    </row>
    <row r="1808" spans="1:6" s="1" customFormat="1" ht="26.25" customHeight="1" x14ac:dyDescent="0.2">
      <c r="A1808" s="21" t="s">
        <v>725</v>
      </c>
      <c r="B1808" s="2" t="s">
        <v>334</v>
      </c>
      <c r="C1808" s="43"/>
      <c r="D1808" s="43"/>
      <c r="E1808" s="43"/>
      <c r="F1808" s="33"/>
    </row>
    <row r="1809" spans="1:6" s="1" customFormat="1" ht="25.5" customHeight="1" x14ac:dyDescent="0.2">
      <c r="A1809" s="97" t="s">
        <v>730</v>
      </c>
      <c r="B1809" s="3">
        <f>67.76</f>
        <v>67.760000000000005</v>
      </c>
      <c r="C1809" s="50"/>
      <c r="D1809" s="50"/>
      <c r="E1809" s="45"/>
      <c r="F1809" s="34"/>
    </row>
    <row r="1810" spans="1:6" s="1" customFormat="1" ht="25.5" x14ac:dyDescent="0.2">
      <c r="A1810" s="97" t="s">
        <v>731</v>
      </c>
      <c r="B1810" s="3">
        <f>588.83</f>
        <v>588.83000000000004</v>
      </c>
      <c r="C1810" s="50"/>
      <c r="D1810" s="50"/>
      <c r="E1810" s="45"/>
      <c r="F1810" s="34"/>
    </row>
    <row r="1811" spans="1:6" s="1" customFormat="1" ht="25.5" x14ac:dyDescent="0.2">
      <c r="A1811" s="97" t="s">
        <v>732</v>
      </c>
      <c r="B1811" s="3">
        <f>24.82</f>
        <v>24.82</v>
      </c>
      <c r="C1811" s="50"/>
      <c r="D1811" s="50"/>
      <c r="E1811" s="45"/>
      <c r="F1811" s="34"/>
    </row>
    <row r="1812" spans="1:6" s="1" customFormat="1" ht="15" x14ac:dyDescent="0.2">
      <c r="A1812" s="97" t="s">
        <v>733</v>
      </c>
      <c r="B1812" s="3">
        <f>119.07</f>
        <v>119.07</v>
      </c>
      <c r="C1812" s="50"/>
      <c r="D1812" s="50"/>
      <c r="E1812" s="45"/>
      <c r="F1812" s="34"/>
    </row>
    <row r="1813" spans="1:6" s="1" customFormat="1" ht="25.5" customHeight="1" x14ac:dyDescent="0.2">
      <c r="A1813" s="97" t="s">
        <v>734</v>
      </c>
      <c r="B1813" s="3">
        <f>30.81+32.7</f>
        <v>63.510000000000005</v>
      </c>
      <c r="C1813" s="50"/>
      <c r="D1813" s="50"/>
      <c r="E1813" s="45"/>
      <c r="F1813" s="34"/>
    </row>
    <row r="1814" spans="1:6" s="1" customFormat="1" ht="25.5" x14ac:dyDescent="0.2">
      <c r="A1814" s="97" t="s">
        <v>735</v>
      </c>
      <c r="B1814" s="3">
        <f>712.37</f>
        <v>712.37</v>
      </c>
      <c r="C1814" s="50"/>
      <c r="D1814" s="50"/>
      <c r="E1814" s="45"/>
      <c r="F1814" s="34"/>
    </row>
    <row r="1815" spans="1:6" s="1" customFormat="1" ht="15" x14ac:dyDescent="0.2">
      <c r="A1815" s="97" t="s">
        <v>736</v>
      </c>
      <c r="B1815" s="3">
        <f>273.45</f>
        <v>273.45</v>
      </c>
      <c r="C1815" s="50"/>
      <c r="D1815" s="50"/>
      <c r="E1815" s="45"/>
      <c r="F1815" s="34"/>
    </row>
    <row r="1816" spans="1:6" s="1" customFormat="1" ht="15" x14ac:dyDescent="0.2">
      <c r="A1816" s="97" t="s">
        <v>737</v>
      </c>
      <c r="B1816" s="3">
        <f>172.46+517.63</f>
        <v>690.09</v>
      </c>
      <c r="C1816" s="50"/>
      <c r="D1816" s="50"/>
      <c r="E1816" s="45"/>
      <c r="F1816" s="34"/>
    </row>
    <row r="1817" spans="1:6" s="1" customFormat="1" ht="15" x14ac:dyDescent="0.2">
      <c r="A1817" s="95" t="s">
        <v>240</v>
      </c>
      <c r="B1817" s="2">
        <f>SUM(B1809:B1816)</f>
        <v>2539.9</v>
      </c>
      <c r="C1817" s="46"/>
      <c r="D1817" s="50"/>
      <c r="E1817" s="50"/>
      <c r="F1817" s="35"/>
    </row>
    <row r="1818" spans="1:6" s="1" customFormat="1" ht="15" x14ac:dyDescent="0.2">
      <c r="A1818" s="19"/>
      <c r="B1818" s="50"/>
      <c r="C1818" s="50"/>
      <c r="D1818" s="50"/>
      <c r="E1818" s="50"/>
      <c r="F1818" s="20"/>
    </row>
    <row r="1819" spans="1:6" ht="24" customHeight="1" x14ac:dyDescent="0.2">
      <c r="A1819" s="80" t="s">
        <v>559</v>
      </c>
      <c r="B1819" s="348" t="s">
        <v>560</v>
      </c>
      <c r="C1819" s="348"/>
      <c r="D1819" s="348"/>
      <c r="E1819" s="25" t="s">
        <v>10</v>
      </c>
      <c r="F1819" s="93">
        <f>D1823</f>
        <v>99</v>
      </c>
    </row>
    <row r="1820" spans="1:6" s="1" customFormat="1" ht="15" x14ac:dyDescent="0.2">
      <c r="A1820" s="19"/>
      <c r="B1820" s="50"/>
      <c r="C1820" s="50"/>
      <c r="D1820" s="50"/>
      <c r="E1820" s="50"/>
      <c r="F1820" s="20"/>
    </row>
    <row r="1821" spans="1:6" s="1" customFormat="1" ht="26.25" customHeight="1" x14ac:dyDescent="0.2">
      <c r="A1821" s="21" t="s">
        <v>725</v>
      </c>
      <c r="B1821" s="2" t="s">
        <v>334</v>
      </c>
      <c r="C1821" s="2" t="s">
        <v>369</v>
      </c>
      <c r="D1821" s="2" t="s">
        <v>187</v>
      </c>
      <c r="E1821" s="43"/>
      <c r="F1821" s="33"/>
    </row>
    <row r="1822" spans="1:6" s="1" customFormat="1" ht="25.5" customHeight="1" x14ac:dyDescent="0.2">
      <c r="A1822" s="97" t="s">
        <v>738</v>
      </c>
      <c r="B1822" s="3">
        <f>118.8</f>
        <v>118.8</v>
      </c>
      <c r="C1822" s="3">
        <v>1.2</v>
      </c>
      <c r="D1822" s="3">
        <f>B1822/C1822</f>
        <v>99</v>
      </c>
      <c r="E1822" s="45"/>
      <c r="F1822" s="34"/>
    </row>
    <row r="1823" spans="1:6" s="1" customFormat="1" ht="15" x14ac:dyDescent="0.2">
      <c r="A1823" s="355" t="s">
        <v>313</v>
      </c>
      <c r="B1823" s="350"/>
      <c r="C1823" s="350"/>
      <c r="D1823" s="2">
        <f>SUM(D1822:D1822)</f>
        <v>99</v>
      </c>
      <c r="E1823" s="50"/>
      <c r="F1823" s="35"/>
    </row>
    <row r="1824" spans="1:6" s="1" customFormat="1" ht="15" x14ac:dyDescent="0.2">
      <c r="A1824" s="19"/>
      <c r="B1824" s="50"/>
      <c r="C1824" s="50"/>
      <c r="D1824" s="50"/>
      <c r="E1824" s="50"/>
      <c r="F1824" s="20"/>
    </row>
    <row r="1825" spans="1:6" ht="24" customHeight="1" x14ac:dyDescent="0.2">
      <c r="A1825" s="80" t="s">
        <v>561</v>
      </c>
      <c r="B1825" s="348" t="s">
        <v>562</v>
      </c>
      <c r="C1825" s="348"/>
      <c r="D1825" s="348"/>
      <c r="E1825" s="25" t="s">
        <v>13</v>
      </c>
      <c r="F1825" s="93">
        <f>B1831</f>
        <v>106.72</v>
      </c>
    </row>
    <row r="1826" spans="1:6" s="1" customFormat="1" ht="15" x14ac:dyDescent="0.2">
      <c r="A1826" s="19"/>
      <c r="B1826" s="50"/>
      <c r="C1826" s="50"/>
      <c r="D1826" s="50"/>
      <c r="E1826" s="50"/>
      <c r="F1826" s="20"/>
    </row>
    <row r="1827" spans="1:6" s="1" customFormat="1" ht="26.25" customHeight="1" x14ac:dyDescent="0.2">
      <c r="A1827" s="21" t="s">
        <v>725</v>
      </c>
      <c r="B1827" s="2" t="s">
        <v>334</v>
      </c>
      <c r="C1827" s="43"/>
      <c r="D1827" s="43"/>
      <c r="E1827" s="43"/>
      <c r="F1827" s="33"/>
    </row>
    <row r="1828" spans="1:6" s="1" customFormat="1" ht="25.5" customHeight="1" x14ac:dyDescent="0.2">
      <c r="A1828" s="97" t="s">
        <v>739</v>
      </c>
      <c r="B1828" s="3">
        <f>89.1</f>
        <v>89.1</v>
      </c>
      <c r="C1828" s="50"/>
      <c r="D1828" s="50"/>
      <c r="E1828" s="45"/>
      <c r="F1828" s="34"/>
    </row>
    <row r="1829" spans="1:6" s="1" customFormat="1" ht="25.5" customHeight="1" x14ac:dyDescent="0.2">
      <c r="A1829" s="97" t="s">
        <v>740</v>
      </c>
      <c r="B1829" s="3">
        <v>6.34</v>
      </c>
      <c r="C1829" s="50"/>
      <c r="D1829" s="50"/>
      <c r="E1829" s="45"/>
      <c r="F1829" s="34"/>
    </row>
    <row r="1830" spans="1:6" s="1" customFormat="1" ht="25.5" customHeight="1" x14ac:dyDescent="0.2">
      <c r="A1830" s="97" t="s">
        <v>740</v>
      </c>
      <c r="B1830" s="3">
        <v>11.28</v>
      </c>
      <c r="C1830" s="50"/>
      <c r="D1830" s="50"/>
      <c r="E1830" s="45"/>
      <c r="F1830" s="34"/>
    </row>
    <row r="1831" spans="1:6" s="1" customFormat="1" ht="15" x14ac:dyDescent="0.2">
      <c r="A1831" s="95" t="s">
        <v>195</v>
      </c>
      <c r="B1831" s="2">
        <f>SUM(B1828:B1830)</f>
        <v>106.72</v>
      </c>
      <c r="C1831" s="46"/>
      <c r="D1831" s="43"/>
      <c r="E1831" s="50"/>
      <c r="F1831" s="35"/>
    </row>
    <row r="1832" spans="1:6" s="1" customFormat="1" ht="15" x14ac:dyDescent="0.2">
      <c r="A1832" s="19"/>
      <c r="B1832" s="50"/>
      <c r="C1832" s="50"/>
      <c r="D1832" s="50"/>
      <c r="E1832" s="50"/>
      <c r="F1832" s="20"/>
    </row>
    <row r="1833" spans="1:6" ht="24" customHeight="1" x14ac:dyDescent="0.2">
      <c r="A1833" s="80" t="s">
        <v>563</v>
      </c>
      <c r="B1833" s="348" t="s">
        <v>564</v>
      </c>
      <c r="C1833" s="348"/>
      <c r="D1833" s="348"/>
      <c r="E1833" s="25" t="s">
        <v>10</v>
      </c>
      <c r="F1833" s="93">
        <f>B1842</f>
        <v>206.35000000000002</v>
      </c>
    </row>
    <row r="1834" spans="1:6" s="1" customFormat="1" ht="15" x14ac:dyDescent="0.2">
      <c r="A1834" s="19"/>
      <c r="B1834" s="50"/>
      <c r="C1834" s="50"/>
      <c r="D1834" s="50"/>
      <c r="E1834" s="50"/>
      <c r="F1834" s="20"/>
    </row>
    <row r="1835" spans="1:6" s="1" customFormat="1" ht="26.25" customHeight="1" x14ac:dyDescent="0.2">
      <c r="A1835" s="21" t="s">
        <v>725</v>
      </c>
      <c r="B1835" s="2" t="s">
        <v>187</v>
      </c>
      <c r="C1835" s="43"/>
      <c r="D1835" s="43"/>
      <c r="E1835" s="43"/>
      <c r="F1835" s="33"/>
    </row>
    <row r="1836" spans="1:6" s="1" customFormat="1" ht="25.5" customHeight="1" x14ac:dyDescent="0.2">
      <c r="A1836" s="97" t="s">
        <v>741</v>
      </c>
      <c r="B1836" s="3">
        <f>12.23</f>
        <v>12.23</v>
      </c>
      <c r="C1836" s="50"/>
      <c r="D1836" s="50"/>
      <c r="E1836" s="45"/>
      <c r="F1836" s="34"/>
    </row>
    <row r="1837" spans="1:6" s="1" customFormat="1" ht="25.5" customHeight="1" x14ac:dyDescent="0.2">
      <c r="A1837" s="97" t="s">
        <v>742</v>
      </c>
      <c r="B1837" s="3">
        <f>15.53</f>
        <v>15.53</v>
      </c>
      <c r="C1837" s="50"/>
      <c r="D1837" s="50"/>
      <c r="E1837" s="45"/>
      <c r="F1837" s="34"/>
    </row>
    <row r="1838" spans="1:6" s="1" customFormat="1" ht="25.5" customHeight="1" x14ac:dyDescent="0.2">
      <c r="A1838" s="97" t="s">
        <v>743</v>
      </c>
      <c r="B1838" s="3">
        <f>20.95</f>
        <v>20.95</v>
      </c>
      <c r="C1838" s="50"/>
      <c r="D1838" s="50"/>
      <c r="E1838" s="45"/>
      <c r="F1838" s="34"/>
    </row>
    <row r="1839" spans="1:6" s="1" customFormat="1" ht="25.5" customHeight="1" x14ac:dyDescent="0.2">
      <c r="A1839" s="97" t="s">
        <v>744</v>
      </c>
      <c r="B1839" s="3">
        <f>4.2</f>
        <v>4.2</v>
      </c>
      <c r="C1839" s="50"/>
      <c r="D1839" s="50"/>
      <c r="E1839" s="45"/>
      <c r="F1839" s="34"/>
    </row>
    <row r="1840" spans="1:6" s="1" customFormat="1" ht="25.5" customHeight="1" x14ac:dyDescent="0.2">
      <c r="A1840" s="97" t="s">
        <v>735</v>
      </c>
      <c r="B1840" s="3">
        <f>15.7</f>
        <v>15.7</v>
      </c>
      <c r="C1840" s="50"/>
      <c r="D1840" s="50"/>
      <c r="E1840" s="45"/>
      <c r="F1840" s="34"/>
    </row>
    <row r="1841" spans="1:6" s="1" customFormat="1" ht="25.5" customHeight="1" x14ac:dyDescent="0.2">
      <c r="A1841" s="97" t="s">
        <v>745</v>
      </c>
      <c r="B1841" s="3">
        <f>137.74</f>
        <v>137.74</v>
      </c>
      <c r="C1841" s="50"/>
      <c r="D1841" s="50"/>
      <c r="E1841" s="45"/>
      <c r="F1841" s="34"/>
    </row>
    <row r="1842" spans="1:6" s="1" customFormat="1" ht="15" x14ac:dyDescent="0.2">
      <c r="A1842" s="95" t="s">
        <v>313</v>
      </c>
      <c r="B1842" s="2">
        <f>SUM(B1836:B1841)</f>
        <v>206.35000000000002</v>
      </c>
      <c r="C1842" s="46"/>
      <c r="D1842" s="43"/>
      <c r="E1842" s="50"/>
      <c r="F1842" s="35"/>
    </row>
    <row r="1843" spans="1:6" s="1" customFormat="1" ht="15" x14ac:dyDescent="0.2">
      <c r="A1843" s="19"/>
      <c r="B1843" s="50"/>
      <c r="C1843" s="50"/>
      <c r="D1843" s="50"/>
      <c r="E1843" s="50"/>
      <c r="F1843" s="20"/>
    </row>
    <row r="1844" spans="1:6" ht="26.1" customHeight="1" x14ac:dyDescent="0.2">
      <c r="A1844" s="80" t="s">
        <v>565</v>
      </c>
      <c r="B1844" s="348" t="s">
        <v>566</v>
      </c>
      <c r="C1844" s="348"/>
      <c r="D1844" s="348"/>
      <c r="E1844" s="25" t="s">
        <v>19</v>
      </c>
      <c r="F1844" s="93">
        <f>D1848</f>
        <v>0.53</v>
      </c>
    </row>
    <row r="1845" spans="1:6" s="1" customFormat="1" ht="15" x14ac:dyDescent="0.2">
      <c r="A1845" s="19"/>
      <c r="B1845" s="50"/>
      <c r="C1845" s="50"/>
      <c r="D1845" s="50"/>
      <c r="E1845" s="50"/>
      <c r="F1845" s="20"/>
    </row>
    <row r="1846" spans="1:6" s="1" customFormat="1" ht="26.25" customHeight="1" x14ac:dyDescent="0.2">
      <c r="A1846" s="21" t="s">
        <v>725</v>
      </c>
      <c r="B1846" s="2" t="s">
        <v>334</v>
      </c>
      <c r="C1846" s="2" t="s">
        <v>369</v>
      </c>
      <c r="D1846" s="2" t="s">
        <v>190</v>
      </c>
      <c r="E1846" s="43"/>
      <c r="F1846" s="33"/>
    </row>
    <row r="1847" spans="1:6" s="1" customFormat="1" ht="15" x14ac:dyDescent="0.2">
      <c r="A1847" s="97" t="s">
        <v>727</v>
      </c>
      <c r="B1847" s="3"/>
      <c r="C1847" s="3"/>
      <c r="D1847" s="3">
        <v>0.53</v>
      </c>
      <c r="E1847" s="45"/>
      <c r="F1847" s="34"/>
    </row>
    <row r="1848" spans="1:6" s="1" customFormat="1" ht="15" x14ac:dyDescent="0.2">
      <c r="A1848" s="355" t="s">
        <v>240</v>
      </c>
      <c r="B1848" s="350"/>
      <c r="C1848" s="350"/>
      <c r="D1848" s="2">
        <f>SUM(D1847:D1847)</f>
        <v>0.53</v>
      </c>
      <c r="E1848" s="50"/>
      <c r="F1848" s="35"/>
    </row>
    <row r="1849" spans="1:6" s="1" customFormat="1" ht="15" x14ac:dyDescent="0.2">
      <c r="A1849" s="19"/>
      <c r="B1849" s="50"/>
      <c r="C1849" s="50"/>
      <c r="D1849" s="50"/>
      <c r="E1849" s="50"/>
      <c r="F1849" s="20"/>
    </row>
    <row r="1850" spans="1:6" ht="24" customHeight="1" x14ac:dyDescent="0.2">
      <c r="A1850" s="80" t="s">
        <v>746</v>
      </c>
      <c r="B1850" s="348" t="s">
        <v>567</v>
      </c>
      <c r="C1850" s="348"/>
      <c r="D1850" s="348"/>
      <c r="E1850" s="25" t="s">
        <v>13</v>
      </c>
      <c r="F1850" s="93">
        <f>B1857</f>
        <v>40.929999999999993</v>
      </c>
    </row>
    <row r="1851" spans="1:6" s="1" customFormat="1" ht="15" x14ac:dyDescent="0.2">
      <c r="A1851" s="19"/>
      <c r="B1851" s="50"/>
      <c r="C1851" s="50"/>
      <c r="D1851" s="50"/>
      <c r="E1851" s="50"/>
      <c r="F1851" s="20"/>
    </row>
    <row r="1852" spans="1:6" s="1" customFormat="1" ht="26.25" customHeight="1" x14ac:dyDescent="0.2">
      <c r="A1852" s="21" t="s">
        <v>725</v>
      </c>
      <c r="B1852" s="2" t="s">
        <v>334</v>
      </c>
      <c r="C1852" s="43"/>
      <c r="D1852" s="43"/>
      <c r="E1852" s="43"/>
      <c r="F1852" s="33"/>
    </row>
    <row r="1853" spans="1:6" s="1" customFormat="1" ht="25.5" customHeight="1" x14ac:dyDescent="0.2">
      <c r="A1853" s="97" t="s">
        <v>756</v>
      </c>
      <c r="B1853" s="3">
        <f>32.3</f>
        <v>32.299999999999997</v>
      </c>
      <c r="C1853" s="50"/>
      <c r="D1853" s="50"/>
      <c r="E1853" s="45"/>
      <c r="F1853" s="34"/>
    </row>
    <row r="1854" spans="1:6" s="1" customFormat="1" ht="25.5" customHeight="1" x14ac:dyDescent="0.2">
      <c r="A1854" s="97" t="s">
        <v>757</v>
      </c>
      <c r="B1854" s="3">
        <f>4.4</f>
        <v>4.4000000000000004</v>
      </c>
      <c r="C1854" s="50"/>
      <c r="D1854" s="50"/>
      <c r="E1854" s="45"/>
      <c r="F1854" s="34"/>
    </row>
    <row r="1855" spans="1:6" s="1" customFormat="1" ht="25.5" customHeight="1" x14ac:dyDescent="0.2">
      <c r="A1855" s="97" t="s">
        <v>758</v>
      </c>
      <c r="B1855" s="3">
        <v>1.98</v>
      </c>
      <c r="C1855" s="50"/>
      <c r="D1855" s="50"/>
      <c r="E1855" s="45"/>
      <c r="F1855" s="34"/>
    </row>
    <row r="1856" spans="1:6" s="1" customFormat="1" ht="25.5" customHeight="1" x14ac:dyDescent="0.2">
      <c r="A1856" s="97" t="s">
        <v>763</v>
      </c>
      <c r="B1856" s="3">
        <v>2.25</v>
      </c>
      <c r="C1856" s="50"/>
      <c r="D1856" s="50"/>
      <c r="E1856" s="45"/>
      <c r="F1856" s="34"/>
    </row>
    <row r="1857" spans="1:6" s="1" customFormat="1" ht="15" x14ac:dyDescent="0.2">
      <c r="A1857" s="95" t="s">
        <v>195</v>
      </c>
      <c r="B1857" s="2">
        <f>SUM(B1853:B1856)</f>
        <v>40.929999999999993</v>
      </c>
      <c r="C1857" s="46"/>
      <c r="D1857" s="43"/>
      <c r="E1857" s="50"/>
      <c r="F1857" s="35"/>
    </row>
    <row r="1858" spans="1:6" s="1" customFormat="1" ht="15" x14ac:dyDescent="0.2">
      <c r="A1858" s="19"/>
      <c r="B1858" s="50"/>
      <c r="C1858" s="50"/>
      <c r="D1858" s="50"/>
      <c r="E1858" s="50"/>
      <c r="F1858" s="20"/>
    </row>
    <row r="1859" spans="1:6" ht="26.1" customHeight="1" x14ac:dyDescent="0.2">
      <c r="A1859" s="80" t="s">
        <v>747</v>
      </c>
      <c r="B1859" s="348" t="s">
        <v>113</v>
      </c>
      <c r="C1859" s="348"/>
      <c r="D1859" s="348"/>
      <c r="E1859" s="25" t="s">
        <v>19</v>
      </c>
      <c r="F1859" s="93">
        <v>1</v>
      </c>
    </row>
    <row r="1860" spans="1:6" s="1" customFormat="1" ht="15" x14ac:dyDescent="0.2">
      <c r="A1860" s="19"/>
      <c r="B1860" s="50"/>
      <c r="C1860" s="50"/>
      <c r="D1860" s="50"/>
      <c r="E1860" s="50"/>
      <c r="F1860" s="20"/>
    </row>
    <row r="1861" spans="1:6" s="1" customFormat="1" ht="26.25" customHeight="1" x14ac:dyDescent="0.2">
      <c r="A1861" s="21" t="s">
        <v>725</v>
      </c>
      <c r="B1861" s="2" t="s">
        <v>312</v>
      </c>
      <c r="C1861" s="2" t="s">
        <v>369</v>
      </c>
      <c r="D1861" s="2" t="s">
        <v>334</v>
      </c>
      <c r="E1861" s="43"/>
      <c r="F1861" s="33"/>
    </row>
    <row r="1862" spans="1:6" s="1" customFormat="1" ht="15" x14ac:dyDescent="0.2">
      <c r="A1862" s="97" t="s">
        <v>759</v>
      </c>
      <c r="B1862" s="3">
        <f>(3+2)*2</f>
        <v>10</v>
      </c>
      <c r="C1862" s="3">
        <v>3.62</v>
      </c>
      <c r="D1862" s="3">
        <f>B1862*C1862</f>
        <v>36.200000000000003</v>
      </c>
      <c r="E1862" s="45"/>
      <c r="F1862" s="34"/>
    </row>
    <row r="1863" spans="1:6" s="1" customFormat="1" ht="15" x14ac:dyDescent="0.2">
      <c r="A1863" s="97" t="s">
        <v>760</v>
      </c>
      <c r="B1863" s="3"/>
      <c r="C1863" s="3"/>
      <c r="D1863" s="3">
        <f>2.05</f>
        <v>2.0499999999999998</v>
      </c>
      <c r="E1863" s="45"/>
      <c r="F1863" s="34"/>
    </row>
    <row r="1864" spans="1:6" s="1" customFormat="1" ht="15" x14ac:dyDescent="0.2">
      <c r="A1864" s="355" t="s">
        <v>240</v>
      </c>
      <c r="B1864" s="350"/>
      <c r="C1864" s="350"/>
      <c r="D1864" s="2">
        <f>SUM(D1862:D1862)</f>
        <v>36.200000000000003</v>
      </c>
      <c r="E1864" s="50"/>
      <c r="F1864" s="35"/>
    </row>
    <row r="1865" spans="1:6" s="1" customFormat="1" ht="15" x14ac:dyDescent="0.2">
      <c r="A1865" s="19"/>
      <c r="B1865" s="50"/>
      <c r="C1865" s="50"/>
      <c r="D1865" s="50"/>
      <c r="E1865" s="50"/>
      <c r="F1865" s="20"/>
    </row>
    <row r="1866" spans="1:6" ht="26.1" customHeight="1" x14ac:dyDescent="0.2">
      <c r="A1866" s="80" t="s">
        <v>748</v>
      </c>
      <c r="B1866" s="348" t="s">
        <v>31</v>
      </c>
      <c r="C1866" s="348"/>
      <c r="D1866" s="348"/>
      <c r="E1866" s="25" t="s">
        <v>13</v>
      </c>
      <c r="F1866" s="93">
        <f>E1869</f>
        <v>2.7720000000000002</v>
      </c>
    </row>
    <row r="1867" spans="1:6" s="1" customFormat="1" ht="15" x14ac:dyDescent="0.2">
      <c r="A1867" s="19"/>
      <c r="B1867" s="50"/>
      <c r="C1867" s="50"/>
      <c r="D1867" s="50"/>
      <c r="E1867" s="50"/>
      <c r="F1867" s="61"/>
    </row>
    <row r="1868" spans="1:6" s="1" customFormat="1" ht="15" x14ac:dyDescent="0.2">
      <c r="A1868" s="359" t="s">
        <v>725</v>
      </c>
      <c r="B1868" s="2" t="s">
        <v>186</v>
      </c>
      <c r="C1868" s="2" t="s">
        <v>295</v>
      </c>
      <c r="D1868" s="2" t="s">
        <v>194</v>
      </c>
      <c r="E1868" s="2" t="s">
        <v>198</v>
      </c>
      <c r="F1868" s="33"/>
    </row>
    <row r="1869" spans="1:6" s="1" customFormat="1" ht="15" x14ac:dyDescent="0.2">
      <c r="A1869" s="366"/>
      <c r="B1869" s="3" t="s">
        <v>762</v>
      </c>
      <c r="C1869" s="5">
        <v>2</v>
      </c>
      <c r="D1869" s="5">
        <f>0.66*2.1</f>
        <v>1.3860000000000001</v>
      </c>
      <c r="E1869" s="4">
        <f>C1869*D1869</f>
        <v>2.7720000000000002</v>
      </c>
      <c r="F1869" s="34"/>
    </row>
    <row r="1870" spans="1:6" s="1" customFormat="1" ht="15" x14ac:dyDescent="0.2">
      <c r="A1870" s="19"/>
      <c r="B1870" s="50"/>
      <c r="C1870" s="50"/>
      <c r="D1870" s="50"/>
      <c r="E1870" s="50"/>
      <c r="F1870" s="61"/>
    </row>
    <row r="1871" spans="1:6" ht="26.1" customHeight="1" x14ac:dyDescent="0.2">
      <c r="A1871" s="80" t="s">
        <v>749</v>
      </c>
      <c r="B1871" s="348" t="s">
        <v>568</v>
      </c>
      <c r="C1871" s="348"/>
      <c r="D1871" s="348"/>
      <c r="E1871" s="25" t="s">
        <v>13</v>
      </c>
      <c r="F1871" s="93">
        <f>E1874</f>
        <v>4.7</v>
      </c>
    </row>
    <row r="1872" spans="1:6" s="1" customFormat="1" ht="15" x14ac:dyDescent="0.2">
      <c r="A1872" s="19"/>
      <c r="B1872" s="50"/>
      <c r="C1872" s="50"/>
      <c r="D1872" s="50"/>
      <c r="E1872" s="50"/>
      <c r="F1872" s="61"/>
    </row>
    <row r="1873" spans="1:6" s="1" customFormat="1" ht="15" x14ac:dyDescent="0.2">
      <c r="A1873" s="359" t="s">
        <v>725</v>
      </c>
      <c r="B1873" s="2" t="s">
        <v>186</v>
      </c>
      <c r="C1873" s="2" t="s">
        <v>295</v>
      </c>
      <c r="D1873" s="2" t="s">
        <v>194</v>
      </c>
      <c r="E1873" s="2" t="s">
        <v>198</v>
      </c>
      <c r="F1873" s="33"/>
    </row>
    <row r="1874" spans="1:6" s="1" customFormat="1" ht="15" x14ac:dyDescent="0.2">
      <c r="A1874" s="360"/>
      <c r="B1874" s="351" t="s">
        <v>762</v>
      </c>
      <c r="C1874" s="5">
        <v>1</v>
      </c>
      <c r="D1874" s="5">
        <f>1.7*1</f>
        <v>1.7</v>
      </c>
      <c r="E1874" s="363">
        <f>SUM(D1874:D1877)</f>
        <v>4.7</v>
      </c>
      <c r="F1874" s="34"/>
    </row>
    <row r="1875" spans="1:6" s="1" customFormat="1" ht="15" x14ac:dyDescent="0.2">
      <c r="A1875" s="360"/>
      <c r="B1875" s="371"/>
      <c r="C1875" s="5">
        <v>1</v>
      </c>
      <c r="D1875" s="5">
        <v>1.5</v>
      </c>
      <c r="E1875" s="364"/>
      <c r="F1875" s="34"/>
    </row>
    <row r="1876" spans="1:6" s="1" customFormat="1" ht="15" x14ac:dyDescent="0.2">
      <c r="A1876" s="360"/>
      <c r="B1876" s="371"/>
      <c r="C1876" s="5">
        <v>1</v>
      </c>
      <c r="D1876" s="5">
        <v>0.6</v>
      </c>
      <c r="E1876" s="364"/>
      <c r="F1876" s="34"/>
    </row>
    <row r="1877" spans="1:6" s="1" customFormat="1" ht="15" x14ac:dyDescent="0.2">
      <c r="A1877" s="366"/>
      <c r="B1877" s="352"/>
      <c r="C1877" s="5">
        <v>1</v>
      </c>
      <c r="D1877" s="5">
        <v>0.9</v>
      </c>
      <c r="E1877" s="365"/>
      <c r="F1877" s="34"/>
    </row>
    <row r="1878" spans="1:6" s="1" customFormat="1" ht="15" x14ac:dyDescent="0.2">
      <c r="A1878" s="19"/>
      <c r="B1878" s="50"/>
      <c r="C1878" s="50"/>
      <c r="D1878" s="50"/>
      <c r="E1878" s="50"/>
      <c r="F1878" s="61"/>
    </row>
    <row r="1879" spans="1:6" ht="26.1" customHeight="1" x14ac:dyDescent="0.2">
      <c r="A1879" s="80" t="s">
        <v>750</v>
      </c>
      <c r="B1879" s="348" t="s">
        <v>120</v>
      </c>
      <c r="C1879" s="348"/>
      <c r="D1879" s="348"/>
      <c r="E1879" s="25" t="s">
        <v>13</v>
      </c>
      <c r="F1879" s="93">
        <f>B1886</f>
        <v>201.27940000000001</v>
      </c>
    </row>
    <row r="1880" spans="1:6" s="1" customFormat="1" ht="15" x14ac:dyDescent="0.2">
      <c r="A1880" s="19"/>
      <c r="B1880" s="50"/>
      <c r="C1880" s="50"/>
      <c r="D1880" s="50"/>
      <c r="E1880" s="50"/>
      <c r="F1880" s="20"/>
    </row>
    <row r="1881" spans="1:6" s="1" customFormat="1" ht="26.25" customHeight="1" x14ac:dyDescent="0.2">
      <c r="A1881" s="21" t="s">
        <v>725</v>
      </c>
      <c r="B1881" s="2" t="s">
        <v>334</v>
      </c>
      <c r="C1881" s="43"/>
      <c r="D1881" s="43"/>
      <c r="E1881" s="43"/>
      <c r="F1881" s="33"/>
    </row>
    <row r="1882" spans="1:6" s="1" customFormat="1" ht="25.5" customHeight="1" x14ac:dyDescent="0.2">
      <c r="A1882" s="97" t="s">
        <v>768</v>
      </c>
      <c r="B1882" s="3">
        <f>126.36</f>
        <v>126.36</v>
      </c>
      <c r="C1882" s="50"/>
      <c r="D1882" s="50"/>
      <c r="E1882" s="45"/>
      <c r="F1882" s="34"/>
    </row>
    <row r="1883" spans="1:6" s="1" customFormat="1" ht="25.5" customHeight="1" x14ac:dyDescent="0.2">
      <c r="A1883" s="97" t="s">
        <v>762</v>
      </c>
      <c r="B1883" s="3">
        <f>3*2</f>
        <v>6</v>
      </c>
      <c r="C1883" s="50"/>
      <c r="D1883" s="50"/>
      <c r="E1883" s="45"/>
      <c r="F1883" s="34"/>
    </row>
    <row r="1884" spans="1:6" s="1" customFormat="1" ht="25.5" customHeight="1" x14ac:dyDescent="0.2">
      <c r="A1884" s="97" t="s">
        <v>769</v>
      </c>
      <c r="B1884" s="3">
        <f>4*1.6</f>
        <v>6.4</v>
      </c>
      <c r="C1884" s="50"/>
      <c r="D1884" s="50"/>
      <c r="E1884" s="45"/>
      <c r="F1884" s="34"/>
    </row>
    <row r="1885" spans="1:6" s="1" customFormat="1" ht="25.5" customHeight="1" x14ac:dyDescent="0.2">
      <c r="A1885" s="97" t="s">
        <v>756</v>
      </c>
      <c r="B1885" s="3">
        <f>8.46*7.39</f>
        <v>62.519400000000005</v>
      </c>
      <c r="C1885" s="50"/>
      <c r="D1885" s="50"/>
      <c r="E1885" s="45"/>
      <c r="F1885" s="34"/>
    </row>
    <row r="1886" spans="1:6" s="1" customFormat="1" ht="15" x14ac:dyDescent="0.2">
      <c r="A1886" s="95" t="s">
        <v>195</v>
      </c>
      <c r="B1886" s="2">
        <f>SUM(B1882:B1885)</f>
        <v>201.27940000000001</v>
      </c>
      <c r="C1886" s="46"/>
      <c r="D1886" s="43"/>
      <c r="E1886" s="50"/>
      <c r="F1886" s="35"/>
    </row>
    <row r="1887" spans="1:6" s="1" customFormat="1" ht="15" x14ac:dyDescent="0.2">
      <c r="A1887" s="19"/>
      <c r="B1887" s="50"/>
      <c r="C1887" s="50"/>
      <c r="D1887" s="50"/>
      <c r="E1887" s="50"/>
      <c r="F1887" s="20"/>
    </row>
    <row r="1888" spans="1:6" ht="24" customHeight="1" x14ac:dyDescent="0.2">
      <c r="A1888" s="80" t="s">
        <v>751</v>
      </c>
      <c r="B1888" s="348" t="s">
        <v>119</v>
      </c>
      <c r="C1888" s="348"/>
      <c r="D1888" s="348"/>
      <c r="E1888" s="25" t="s">
        <v>13</v>
      </c>
      <c r="F1888" s="93">
        <f>B1894</f>
        <v>74.91940000000001</v>
      </c>
    </row>
    <row r="1889" spans="1:6" s="1" customFormat="1" ht="15" x14ac:dyDescent="0.2">
      <c r="A1889" s="19"/>
      <c r="B1889" s="50"/>
      <c r="C1889" s="50"/>
      <c r="D1889" s="50"/>
      <c r="E1889" s="50"/>
      <c r="F1889" s="20"/>
    </row>
    <row r="1890" spans="1:6" s="1" customFormat="1" ht="26.25" customHeight="1" x14ac:dyDescent="0.2">
      <c r="A1890" s="21" t="s">
        <v>725</v>
      </c>
      <c r="B1890" s="2" t="s">
        <v>334</v>
      </c>
      <c r="C1890" s="43"/>
      <c r="D1890" s="43"/>
      <c r="E1890" s="43"/>
      <c r="F1890" s="33"/>
    </row>
    <row r="1891" spans="1:6" s="1" customFormat="1" ht="25.5" customHeight="1" x14ac:dyDescent="0.2">
      <c r="A1891" s="97" t="s">
        <v>762</v>
      </c>
      <c r="B1891" s="3">
        <f>3*2</f>
        <v>6</v>
      </c>
      <c r="C1891" s="50"/>
      <c r="D1891" s="50"/>
      <c r="E1891" s="45"/>
      <c r="F1891" s="34"/>
    </row>
    <row r="1892" spans="1:6" s="1" customFormat="1" ht="25.5" customHeight="1" x14ac:dyDescent="0.2">
      <c r="A1892" s="97" t="s">
        <v>769</v>
      </c>
      <c r="B1892" s="3">
        <f>4*1.6</f>
        <v>6.4</v>
      </c>
      <c r="C1892" s="50"/>
      <c r="D1892" s="50"/>
      <c r="E1892" s="45"/>
      <c r="F1892" s="34"/>
    </row>
    <row r="1893" spans="1:6" s="1" customFormat="1" ht="25.5" customHeight="1" x14ac:dyDescent="0.2">
      <c r="A1893" s="97" t="s">
        <v>756</v>
      </c>
      <c r="B1893" s="3">
        <f>8.46*7.39</f>
        <v>62.519400000000005</v>
      </c>
      <c r="C1893" s="50"/>
      <c r="D1893" s="50"/>
      <c r="E1893" s="45"/>
      <c r="F1893" s="34"/>
    </row>
    <row r="1894" spans="1:6" s="1" customFormat="1" ht="15" x14ac:dyDescent="0.2">
      <c r="A1894" s="95" t="s">
        <v>195</v>
      </c>
      <c r="B1894" s="2">
        <f>SUM(B1891:B1893)</f>
        <v>74.91940000000001</v>
      </c>
      <c r="C1894" s="46"/>
      <c r="D1894" s="43"/>
      <c r="E1894" s="50"/>
      <c r="F1894" s="35"/>
    </row>
    <row r="1895" spans="1:6" s="1" customFormat="1" ht="15" x14ac:dyDescent="0.2">
      <c r="A1895" s="19"/>
      <c r="B1895" s="50"/>
      <c r="C1895" s="50"/>
      <c r="D1895" s="50"/>
      <c r="E1895" s="50"/>
      <c r="F1895" s="20"/>
    </row>
    <row r="1896" spans="1:6" ht="26.1" customHeight="1" x14ac:dyDescent="0.2">
      <c r="A1896" s="80" t="s">
        <v>752</v>
      </c>
      <c r="B1896" s="348" t="s">
        <v>569</v>
      </c>
      <c r="C1896" s="348"/>
      <c r="D1896" s="348"/>
      <c r="E1896" s="25" t="s">
        <v>10</v>
      </c>
      <c r="F1896" s="93">
        <f>B1901</f>
        <v>19.920000000000002</v>
      </c>
    </row>
    <row r="1897" spans="1:6" s="1" customFormat="1" ht="15" x14ac:dyDescent="0.2">
      <c r="A1897" s="19"/>
      <c r="B1897" s="50"/>
      <c r="C1897" s="50"/>
      <c r="D1897" s="50"/>
      <c r="E1897" s="50"/>
      <c r="F1897" s="20"/>
    </row>
    <row r="1898" spans="1:6" s="1" customFormat="1" ht="26.25" customHeight="1" x14ac:dyDescent="0.2">
      <c r="A1898" s="21" t="s">
        <v>725</v>
      </c>
      <c r="B1898" s="2" t="s">
        <v>346</v>
      </c>
      <c r="C1898" s="43"/>
      <c r="D1898" s="43"/>
      <c r="E1898" s="43"/>
      <c r="F1898" s="33"/>
    </row>
    <row r="1899" spans="1:6" s="1" customFormat="1" ht="25.5" customHeight="1" x14ac:dyDescent="0.2">
      <c r="A1899" s="97" t="s">
        <v>762</v>
      </c>
      <c r="B1899" s="3">
        <v>3</v>
      </c>
      <c r="C1899" s="50"/>
      <c r="D1899" s="50"/>
      <c r="E1899" s="45"/>
      <c r="F1899" s="34"/>
    </row>
    <row r="1900" spans="1:6" s="1" customFormat="1" ht="25.5" customHeight="1" x14ac:dyDescent="0.2">
      <c r="A1900" s="97" t="s">
        <v>756</v>
      </c>
      <c r="B1900" s="3">
        <f>8.46*2</f>
        <v>16.920000000000002</v>
      </c>
      <c r="C1900" s="50"/>
      <c r="D1900" s="50"/>
      <c r="E1900" s="45"/>
      <c r="F1900" s="34"/>
    </row>
    <row r="1901" spans="1:6" s="1" customFormat="1" ht="15" x14ac:dyDescent="0.2">
      <c r="A1901" s="95" t="s">
        <v>313</v>
      </c>
      <c r="B1901" s="2">
        <f>SUM(B1899:B1900)</f>
        <v>19.920000000000002</v>
      </c>
      <c r="C1901" s="46"/>
      <c r="D1901" s="43"/>
      <c r="E1901" s="50"/>
      <c r="F1901" s="35"/>
    </row>
    <row r="1902" spans="1:6" s="1" customFormat="1" ht="15" x14ac:dyDescent="0.2">
      <c r="A1902" s="19"/>
      <c r="B1902" s="50"/>
      <c r="C1902" s="50"/>
      <c r="D1902" s="50"/>
      <c r="E1902" s="50"/>
      <c r="F1902" s="20"/>
    </row>
    <row r="1903" spans="1:6" ht="24" customHeight="1" x14ac:dyDescent="0.2">
      <c r="A1903" s="80" t="s">
        <v>753</v>
      </c>
      <c r="B1903" s="348" t="s">
        <v>117</v>
      </c>
      <c r="C1903" s="348"/>
      <c r="D1903" s="348"/>
      <c r="E1903" s="25" t="s">
        <v>13</v>
      </c>
      <c r="F1903" s="93">
        <f>E1906</f>
        <v>19.78</v>
      </c>
    </row>
    <row r="1904" spans="1:6" s="1" customFormat="1" ht="15" x14ac:dyDescent="0.2">
      <c r="A1904" s="19"/>
      <c r="B1904" s="50"/>
      <c r="C1904" s="50"/>
      <c r="D1904" s="50"/>
      <c r="E1904" s="50"/>
      <c r="F1904" s="61"/>
    </row>
    <row r="1905" spans="1:6" s="1" customFormat="1" ht="15" x14ac:dyDescent="0.2">
      <c r="A1905" s="359" t="s">
        <v>725</v>
      </c>
      <c r="B1905" s="2" t="s">
        <v>186</v>
      </c>
      <c r="C1905" s="2" t="s">
        <v>295</v>
      </c>
      <c r="D1905" s="2" t="s">
        <v>194</v>
      </c>
      <c r="E1905" s="2" t="s">
        <v>198</v>
      </c>
      <c r="F1905" s="33"/>
    </row>
    <row r="1906" spans="1:6" s="1" customFormat="1" ht="15" x14ac:dyDescent="0.2">
      <c r="A1906" s="360"/>
      <c r="B1906" s="41" t="s">
        <v>730</v>
      </c>
      <c r="C1906" s="5">
        <v>1</v>
      </c>
      <c r="D1906" s="5">
        <f>8</f>
        <v>8</v>
      </c>
      <c r="E1906" s="363">
        <f>SUM(D1906:D1908)</f>
        <v>19.78</v>
      </c>
      <c r="F1906" s="34"/>
    </row>
    <row r="1907" spans="1:6" s="1" customFormat="1" ht="15" x14ac:dyDescent="0.2">
      <c r="A1907" s="360"/>
      <c r="B1907" s="41" t="s">
        <v>756</v>
      </c>
      <c r="C1907" s="5">
        <v>2</v>
      </c>
      <c r="D1907" s="5">
        <v>3.78</v>
      </c>
      <c r="E1907" s="364"/>
      <c r="F1907" s="34"/>
    </row>
    <row r="1908" spans="1:6" s="1" customFormat="1" ht="15" x14ac:dyDescent="0.2">
      <c r="A1908" s="366"/>
      <c r="B1908" s="41" t="s">
        <v>736</v>
      </c>
      <c r="C1908" s="5">
        <v>1</v>
      </c>
      <c r="D1908" s="5">
        <f>D1906</f>
        <v>8</v>
      </c>
      <c r="E1908" s="365"/>
      <c r="F1908" s="34"/>
    </row>
    <row r="1909" spans="1:6" s="1" customFormat="1" ht="15" x14ac:dyDescent="0.2">
      <c r="A1909" s="19"/>
      <c r="B1909" s="50"/>
      <c r="C1909" s="50"/>
      <c r="D1909" s="50"/>
      <c r="E1909" s="50"/>
      <c r="F1909" s="61"/>
    </row>
    <row r="1910" spans="1:6" ht="26.1" customHeight="1" x14ac:dyDescent="0.2">
      <c r="A1910" s="80" t="s">
        <v>754</v>
      </c>
      <c r="B1910" s="348" t="s">
        <v>32</v>
      </c>
      <c r="C1910" s="348"/>
      <c r="D1910" s="348"/>
      <c r="E1910" s="25" t="s">
        <v>33</v>
      </c>
      <c r="F1910" s="93">
        <f>C1913</f>
        <v>2</v>
      </c>
    </row>
    <row r="1911" spans="1:6" s="1" customFormat="1" ht="15" x14ac:dyDescent="0.2">
      <c r="A1911" s="19"/>
      <c r="B1911" s="50"/>
      <c r="C1911" s="50"/>
      <c r="D1911" s="50"/>
      <c r="E1911" s="50"/>
      <c r="F1911" s="61"/>
    </row>
    <row r="1912" spans="1:6" s="1" customFormat="1" ht="15" x14ac:dyDescent="0.2">
      <c r="A1912" s="361" t="s">
        <v>725</v>
      </c>
      <c r="B1912" s="2" t="s">
        <v>186</v>
      </c>
      <c r="C1912" s="2" t="s">
        <v>295</v>
      </c>
      <c r="D1912" s="43"/>
      <c r="E1912" s="43"/>
      <c r="F1912" s="33"/>
    </row>
    <row r="1913" spans="1:6" s="1" customFormat="1" ht="15" x14ac:dyDescent="0.2">
      <c r="A1913" s="361"/>
      <c r="B1913" s="3" t="s">
        <v>762</v>
      </c>
      <c r="C1913" s="5">
        <v>2</v>
      </c>
      <c r="D1913" s="45"/>
      <c r="E1913" s="47"/>
      <c r="F1913" s="34"/>
    </row>
    <row r="1914" spans="1:6" s="1" customFormat="1" ht="15" x14ac:dyDescent="0.2">
      <c r="A1914" s="19"/>
      <c r="B1914" s="50"/>
      <c r="C1914" s="50"/>
      <c r="D1914" s="50"/>
      <c r="E1914" s="50"/>
      <c r="F1914" s="61"/>
    </row>
    <row r="1915" spans="1:6" ht="24" customHeight="1" x14ac:dyDescent="0.2">
      <c r="A1915" s="80" t="s">
        <v>755</v>
      </c>
      <c r="B1915" s="348" t="s">
        <v>116</v>
      </c>
      <c r="C1915" s="348"/>
      <c r="D1915" s="348"/>
      <c r="E1915" s="25" t="s">
        <v>10</v>
      </c>
      <c r="F1915" s="93">
        <f>E1921</f>
        <v>74.099999999999994</v>
      </c>
    </row>
    <row r="1916" spans="1:6" s="1" customFormat="1" ht="15" x14ac:dyDescent="0.2">
      <c r="A1916" s="19"/>
      <c r="B1916" s="50"/>
      <c r="C1916" s="50"/>
      <c r="D1916" s="50"/>
      <c r="E1916" s="50"/>
      <c r="F1916" s="61"/>
    </row>
    <row r="1917" spans="1:6" s="1" customFormat="1" ht="15" x14ac:dyDescent="0.2">
      <c r="A1917" s="359" t="s">
        <v>725</v>
      </c>
      <c r="B1917" s="2" t="s">
        <v>186</v>
      </c>
      <c r="C1917" s="2" t="s">
        <v>295</v>
      </c>
      <c r="D1917" s="2" t="s">
        <v>187</v>
      </c>
      <c r="E1917" s="2" t="s">
        <v>772</v>
      </c>
      <c r="F1917" s="33"/>
    </row>
    <row r="1918" spans="1:6" s="1" customFormat="1" ht="15" x14ac:dyDescent="0.2">
      <c r="A1918" s="360"/>
      <c r="B1918" s="42" t="s">
        <v>771</v>
      </c>
      <c r="C1918" s="5">
        <v>4</v>
      </c>
      <c r="D1918" s="5">
        <v>4.2</v>
      </c>
      <c r="E1918" s="17">
        <f>C1918*D1918</f>
        <v>16.8</v>
      </c>
      <c r="F1918" s="34"/>
    </row>
    <row r="1919" spans="1:6" s="1" customFormat="1" ht="25.5" x14ac:dyDescent="0.2">
      <c r="A1919" s="360"/>
      <c r="B1919" s="41" t="s">
        <v>745</v>
      </c>
      <c r="C1919" s="5">
        <v>2</v>
      </c>
      <c r="D1919" s="5">
        <v>12.5</v>
      </c>
      <c r="E1919" s="17">
        <f t="shared" ref="E1919:E1920" si="54">C1919*D1919</f>
        <v>25</v>
      </c>
      <c r="F1919" s="34"/>
    </row>
    <row r="1920" spans="1:6" s="1" customFormat="1" ht="15" x14ac:dyDescent="0.2">
      <c r="A1920" s="366"/>
      <c r="B1920" s="41" t="s">
        <v>729</v>
      </c>
      <c r="C1920" s="5">
        <v>2</v>
      </c>
      <c r="D1920" s="5">
        <f>10.14+1.91+4.1</f>
        <v>16.149999999999999</v>
      </c>
      <c r="E1920" s="5">
        <f t="shared" si="54"/>
        <v>32.299999999999997</v>
      </c>
      <c r="F1920" s="34"/>
    </row>
    <row r="1921" spans="1:6" s="1" customFormat="1" ht="15" x14ac:dyDescent="0.2">
      <c r="A1921" s="367" t="s">
        <v>313</v>
      </c>
      <c r="B1921" s="368"/>
      <c r="C1921" s="368"/>
      <c r="D1921" s="369"/>
      <c r="E1921" s="4">
        <f>SUM(E1918:E1920)</f>
        <v>74.099999999999994</v>
      </c>
      <c r="F1921" s="34"/>
    </row>
    <row r="1922" spans="1:6" s="1" customFormat="1" ht="15" x14ac:dyDescent="0.2">
      <c r="A1922" s="19"/>
      <c r="B1922" s="50"/>
      <c r="C1922" s="50"/>
      <c r="D1922" s="50"/>
      <c r="E1922" s="50"/>
      <c r="F1922" s="61"/>
    </row>
    <row r="1923" spans="1:6" x14ac:dyDescent="0.2">
      <c r="A1923" s="80" t="s">
        <v>764</v>
      </c>
      <c r="B1923" s="348" t="s">
        <v>121</v>
      </c>
      <c r="C1923" s="348"/>
      <c r="D1923" s="348"/>
      <c r="E1923" s="25" t="s">
        <v>10</v>
      </c>
      <c r="F1923" s="93">
        <f>D1927</f>
        <v>24</v>
      </c>
    </row>
    <row r="1924" spans="1:6" s="1" customFormat="1" ht="15" x14ac:dyDescent="0.2">
      <c r="A1924" s="19"/>
      <c r="B1924" s="50"/>
      <c r="C1924" s="50"/>
      <c r="D1924" s="50"/>
      <c r="E1924" s="50"/>
      <c r="F1924" s="61"/>
    </row>
    <row r="1925" spans="1:6" s="1" customFormat="1" ht="15" x14ac:dyDescent="0.2">
      <c r="A1925" s="21" t="s">
        <v>186</v>
      </c>
      <c r="B1925" s="2" t="s">
        <v>189</v>
      </c>
      <c r="C1925" s="2" t="s">
        <v>295</v>
      </c>
      <c r="D1925" s="2" t="s">
        <v>313</v>
      </c>
      <c r="E1925" s="43"/>
      <c r="F1925" s="33"/>
    </row>
    <row r="1926" spans="1:6" s="1" customFormat="1" ht="30" customHeight="1" x14ac:dyDescent="0.2">
      <c r="A1926" s="22" t="s">
        <v>773</v>
      </c>
      <c r="B1926" s="3">
        <v>3</v>
      </c>
      <c r="C1926" s="5">
        <v>8</v>
      </c>
      <c r="D1926" s="5">
        <f>B1926*C1926</f>
        <v>24</v>
      </c>
      <c r="E1926" s="45"/>
      <c r="F1926" s="34"/>
    </row>
    <row r="1927" spans="1:6" s="1" customFormat="1" ht="15" x14ac:dyDescent="0.2">
      <c r="A1927" s="355" t="s">
        <v>313</v>
      </c>
      <c r="B1927" s="350"/>
      <c r="C1927" s="350"/>
      <c r="D1927" s="2">
        <f>SUM(D1926:D1926)</f>
        <v>24</v>
      </c>
      <c r="E1927" s="43"/>
      <c r="F1927" s="35"/>
    </row>
    <row r="1928" spans="1:6" s="1" customFormat="1" ht="15" x14ac:dyDescent="0.2">
      <c r="A1928" s="19"/>
      <c r="B1928" s="50"/>
      <c r="C1928" s="50"/>
      <c r="D1928" s="50"/>
      <c r="E1928" s="50"/>
      <c r="F1928" s="61"/>
    </row>
    <row r="1929" spans="1:6" ht="30" customHeight="1" x14ac:dyDescent="0.2">
      <c r="A1929" s="80" t="s">
        <v>765</v>
      </c>
      <c r="B1929" s="348" t="s">
        <v>767</v>
      </c>
      <c r="C1929" s="348"/>
      <c r="D1929" s="348"/>
      <c r="E1929" s="25" t="s">
        <v>766</v>
      </c>
      <c r="F1929" s="93">
        <f>E1934</f>
        <v>43.708800000000004</v>
      </c>
    </row>
    <row r="1930" spans="1:6" s="1" customFormat="1" ht="15" x14ac:dyDescent="0.2">
      <c r="A1930" s="19"/>
      <c r="B1930" s="50"/>
      <c r="C1930" s="50"/>
      <c r="D1930" s="50"/>
      <c r="E1930" s="50"/>
      <c r="F1930" s="61"/>
    </row>
    <row r="1931" spans="1:6" s="1" customFormat="1" ht="15" x14ac:dyDescent="0.2">
      <c r="A1931" s="359" t="s">
        <v>774</v>
      </c>
      <c r="B1931" s="2" t="s">
        <v>186</v>
      </c>
      <c r="C1931" s="2" t="s">
        <v>295</v>
      </c>
      <c r="D1931" s="2" t="s">
        <v>194</v>
      </c>
      <c r="E1931" s="2" t="s">
        <v>775</v>
      </c>
      <c r="F1931" s="33"/>
    </row>
    <row r="1932" spans="1:6" s="1" customFormat="1" ht="15" x14ac:dyDescent="0.2">
      <c r="A1932" s="360"/>
      <c r="B1932" s="42" t="s">
        <v>348</v>
      </c>
      <c r="C1932" s="5">
        <v>12</v>
      </c>
      <c r="D1932" s="5">
        <f>(2.17+2.4+2.3)*0.17</f>
        <v>1.1679000000000002</v>
      </c>
      <c r="E1932" s="17">
        <f>C1932*D1932</f>
        <v>14.014800000000001</v>
      </c>
      <c r="F1932" s="34"/>
    </row>
    <row r="1933" spans="1:6" s="1" customFormat="1" ht="15" x14ac:dyDescent="0.2">
      <c r="A1933" s="360"/>
      <c r="B1933" s="41" t="s">
        <v>199</v>
      </c>
      <c r="C1933" s="5">
        <v>1</v>
      </c>
      <c r="D1933" s="5">
        <f>(1.5+1.2+1.5)*7.07</f>
        <v>29.694000000000003</v>
      </c>
      <c r="E1933" s="17">
        <f t="shared" ref="E1933" si="55">C1933*D1933</f>
        <v>29.694000000000003</v>
      </c>
      <c r="F1933" s="34"/>
    </row>
    <row r="1934" spans="1:6" s="1" customFormat="1" ht="15" x14ac:dyDescent="0.2">
      <c r="A1934" s="367" t="s">
        <v>195</v>
      </c>
      <c r="B1934" s="368"/>
      <c r="C1934" s="368"/>
      <c r="D1934" s="369"/>
      <c r="E1934" s="4">
        <f>SUM(E1932:E1933)</f>
        <v>43.708800000000004</v>
      </c>
      <c r="F1934" s="34"/>
    </row>
    <row r="1935" spans="1:6" s="1" customFormat="1" ht="15" x14ac:dyDescent="0.2">
      <c r="A1935" s="19"/>
      <c r="B1935" s="50"/>
      <c r="C1935" s="50"/>
      <c r="D1935" s="50"/>
      <c r="E1935" s="50"/>
      <c r="F1935" s="61"/>
    </row>
    <row r="1936" spans="1:6" x14ac:dyDescent="0.2">
      <c r="A1936" s="80" t="s">
        <v>770</v>
      </c>
      <c r="B1936" s="348" t="s">
        <v>38</v>
      </c>
      <c r="C1936" s="348"/>
      <c r="D1936" s="348"/>
      <c r="E1936" s="25" t="s">
        <v>766</v>
      </c>
      <c r="F1936" s="93">
        <f>B1939</f>
        <v>0.68</v>
      </c>
    </row>
    <row r="1937" spans="1:6" s="1" customFormat="1" ht="15" x14ac:dyDescent="0.2">
      <c r="A1937" s="19"/>
      <c r="B1937" s="50"/>
      <c r="C1937" s="50"/>
      <c r="D1937" s="50"/>
      <c r="E1937" s="50"/>
      <c r="F1937" s="20"/>
    </row>
    <row r="1938" spans="1:6" s="1" customFormat="1" ht="26.25" customHeight="1" x14ac:dyDescent="0.2">
      <c r="A1938" s="21" t="s">
        <v>778</v>
      </c>
      <c r="B1938" s="2" t="s">
        <v>334</v>
      </c>
      <c r="C1938" s="43"/>
      <c r="D1938" s="43"/>
      <c r="E1938" s="43"/>
      <c r="F1938" s="33"/>
    </row>
    <row r="1939" spans="1:6" s="1" customFormat="1" ht="25.5" customHeight="1" x14ac:dyDescent="0.2">
      <c r="A1939" s="97" t="s">
        <v>762</v>
      </c>
      <c r="B1939" s="3">
        <f>1.7*0.4</f>
        <v>0.68</v>
      </c>
      <c r="C1939" s="50"/>
      <c r="D1939" s="50"/>
      <c r="E1939" s="45"/>
      <c r="F1939" s="34"/>
    </row>
    <row r="1940" spans="1:6" s="1" customFormat="1" ht="15" x14ac:dyDescent="0.2">
      <c r="A1940" s="95" t="s">
        <v>195</v>
      </c>
      <c r="B1940" s="2">
        <f>SUM(B1939:B1939)</f>
        <v>0.68</v>
      </c>
      <c r="C1940" s="46"/>
      <c r="D1940" s="43"/>
      <c r="E1940" s="50"/>
      <c r="F1940" s="35"/>
    </row>
    <row r="1941" spans="1:6" s="1" customFormat="1" ht="15" x14ac:dyDescent="0.2">
      <c r="A1941" s="19"/>
      <c r="B1941" s="50"/>
      <c r="C1941" s="50"/>
      <c r="D1941" s="50"/>
      <c r="E1941" s="50"/>
      <c r="F1941" s="20"/>
    </row>
    <row r="1942" spans="1:6" ht="30" customHeight="1" x14ac:dyDescent="0.2">
      <c r="A1942" s="80" t="s">
        <v>776</v>
      </c>
      <c r="B1942" s="348" t="s">
        <v>777</v>
      </c>
      <c r="C1942" s="348"/>
      <c r="D1942" s="348"/>
      <c r="E1942" s="25" t="s">
        <v>766</v>
      </c>
      <c r="F1942" s="93">
        <f>B1946</f>
        <v>18.100000000000001</v>
      </c>
    </row>
    <row r="1943" spans="1:6" s="1" customFormat="1" ht="15" x14ac:dyDescent="0.2">
      <c r="A1943" s="19"/>
      <c r="B1943" s="50"/>
      <c r="C1943" s="50"/>
      <c r="D1943" s="50"/>
      <c r="E1943" s="50"/>
      <c r="F1943" s="20"/>
    </row>
    <row r="1944" spans="1:6" s="1" customFormat="1" ht="26.25" customHeight="1" x14ac:dyDescent="0.2">
      <c r="A1944" s="21" t="s">
        <v>725</v>
      </c>
      <c r="B1944" s="2" t="s">
        <v>334</v>
      </c>
      <c r="C1944" s="43"/>
      <c r="D1944" s="43"/>
      <c r="E1944" s="43"/>
      <c r="F1944" s="33"/>
    </row>
    <row r="1945" spans="1:6" s="1" customFormat="1" ht="25.5" customHeight="1" x14ac:dyDescent="0.2">
      <c r="A1945" s="97" t="s">
        <v>779</v>
      </c>
      <c r="B1945" s="3">
        <v>18.100000000000001</v>
      </c>
      <c r="C1945" s="50"/>
      <c r="D1945" s="50"/>
      <c r="E1945" s="45"/>
      <c r="F1945" s="34"/>
    </row>
    <row r="1946" spans="1:6" s="1" customFormat="1" ht="15" x14ac:dyDescent="0.2">
      <c r="A1946" s="95" t="s">
        <v>195</v>
      </c>
      <c r="B1946" s="2">
        <f>SUM(B1945:B1945)</f>
        <v>18.100000000000001</v>
      </c>
      <c r="C1946" s="46"/>
      <c r="D1946" s="43"/>
      <c r="E1946" s="50"/>
      <c r="F1946" s="35"/>
    </row>
    <row r="1947" spans="1:6" s="1" customFormat="1" ht="15" x14ac:dyDescent="0.2">
      <c r="A1947" s="19"/>
      <c r="B1947" s="50"/>
      <c r="C1947" s="50"/>
      <c r="D1947" s="50"/>
      <c r="E1947" s="50"/>
      <c r="F1947" s="20"/>
    </row>
    <row r="1948" spans="1:6" x14ac:dyDescent="0.2">
      <c r="A1948" s="81" t="s">
        <v>570</v>
      </c>
      <c r="B1948" s="349" t="s">
        <v>124</v>
      </c>
      <c r="C1948" s="349"/>
      <c r="D1948" s="349"/>
      <c r="E1948" s="54"/>
      <c r="F1948" s="132">
        <v>1</v>
      </c>
    </row>
    <row r="1949" spans="1:6" x14ac:dyDescent="0.2">
      <c r="A1949" s="81" t="s">
        <v>571</v>
      </c>
      <c r="B1949" s="349" t="s">
        <v>362</v>
      </c>
      <c r="C1949" s="349"/>
      <c r="D1949" s="349"/>
      <c r="E1949" s="54"/>
      <c r="F1949" s="132">
        <v>1</v>
      </c>
    </row>
    <row r="1950" spans="1:6" ht="39" customHeight="1" x14ac:dyDescent="0.2">
      <c r="A1950" s="80" t="s">
        <v>572</v>
      </c>
      <c r="B1950" s="348" t="s">
        <v>573</v>
      </c>
      <c r="C1950" s="348"/>
      <c r="D1950" s="348"/>
      <c r="E1950" s="25" t="s">
        <v>10</v>
      </c>
      <c r="F1950" s="93">
        <f>E1954</f>
        <v>12</v>
      </c>
    </row>
    <row r="1951" spans="1:6" s="1" customFormat="1" ht="15" x14ac:dyDescent="0.2">
      <c r="A1951" s="19"/>
      <c r="B1951" s="50"/>
      <c r="C1951" s="50"/>
      <c r="D1951" s="50"/>
      <c r="E1951" s="50"/>
      <c r="F1951" s="61"/>
    </row>
    <row r="1952" spans="1:6" s="1" customFormat="1" ht="15" x14ac:dyDescent="0.2">
      <c r="A1952" s="359" t="s">
        <v>780</v>
      </c>
      <c r="B1952" s="2" t="s">
        <v>186</v>
      </c>
      <c r="C1952" s="2" t="s">
        <v>295</v>
      </c>
      <c r="D1952" s="2" t="s">
        <v>361</v>
      </c>
      <c r="E1952" s="2" t="s">
        <v>781</v>
      </c>
      <c r="F1952" s="33"/>
    </row>
    <row r="1953" spans="1:6" s="1" customFormat="1" ht="33" customHeight="1" x14ac:dyDescent="0.2">
      <c r="A1953" s="360"/>
      <c r="B1953" s="42" t="s">
        <v>400</v>
      </c>
      <c r="C1953" s="5">
        <v>4</v>
      </c>
      <c r="D1953" s="5">
        <v>3</v>
      </c>
      <c r="E1953" s="17">
        <f>C1953*D1953</f>
        <v>12</v>
      </c>
      <c r="F1953" s="34"/>
    </row>
    <row r="1954" spans="1:6" s="1" customFormat="1" ht="15" x14ac:dyDescent="0.2">
      <c r="A1954" s="367" t="s">
        <v>313</v>
      </c>
      <c r="B1954" s="368"/>
      <c r="C1954" s="368"/>
      <c r="D1954" s="369"/>
      <c r="E1954" s="4">
        <f>SUM(E1953:E1953)</f>
        <v>12</v>
      </c>
      <c r="F1954" s="34"/>
    </row>
    <row r="1955" spans="1:6" s="1" customFormat="1" ht="15" x14ac:dyDescent="0.2">
      <c r="A1955" s="19"/>
      <c r="B1955" s="50"/>
      <c r="C1955" s="50"/>
      <c r="D1955" s="50"/>
      <c r="E1955" s="50"/>
      <c r="F1955" s="61"/>
    </row>
    <row r="1956" spans="1:6" ht="24" customHeight="1" x14ac:dyDescent="0.2">
      <c r="A1956" s="80" t="s">
        <v>783</v>
      </c>
      <c r="B1956" s="348" t="s">
        <v>384</v>
      </c>
      <c r="C1956" s="348"/>
      <c r="D1956" s="348"/>
      <c r="E1956" s="25" t="s">
        <v>33</v>
      </c>
      <c r="F1956" s="93">
        <f>94</f>
        <v>94</v>
      </c>
    </row>
    <row r="1957" spans="1:6" s="1" customFormat="1" ht="15" x14ac:dyDescent="0.2">
      <c r="A1957" s="356" t="s">
        <v>782</v>
      </c>
      <c r="B1957" s="357"/>
      <c r="C1957" s="357"/>
      <c r="D1957" s="357"/>
      <c r="E1957" s="357"/>
      <c r="F1957" s="358"/>
    </row>
    <row r="1958" spans="1:6" ht="26.1" customHeight="1" x14ac:dyDescent="0.2">
      <c r="A1958" s="80" t="s">
        <v>784</v>
      </c>
      <c r="B1958" s="348" t="s">
        <v>385</v>
      </c>
      <c r="C1958" s="348"/>
      <c r="D1958" s="348"/>
      <c r="E1958" s="25" t="s">
        <v>386</v>
      </c>
      <c r="F1958" s="93">
        <f>100.8</f>
        <v>100.8</v>
      </c>
    </row>
    <row r="1959" spans="1:6" s="1" customFormat="1" ht="15" x14ac:dyDescent="0.2">
      <c r="A1959" s="356" t="s">
        <v>782</v>
      </c>
      <c r="B1959" s="357"/>
      <c r="C1959" s="357"/>
      <c r="D1959" s="357"/>
      <c r="E1959" s="357"/>
      <c r="F1959" s="358"/>
    </row>
    <row r="1960" spans="1:6" ht="26.1" customHeight="1" x14ac:dyDescent="0.2">
      <c r="A1960" s="80" t="s">
        <v>785</v>
      </c>
      <c r="B1960" s="348" t="s">
        <v>387</v>
      </c>
      <c r="C1960" s="348"/>
      <c r="D1960" s="348"/>
      <c r="E1960" s="25" t="s">
        <v>13</v>
      </c>
      <c r="F1960" s="93">
        <f>F1964</f>
        <v>0.36</v>
      </c>
    </row>
    <row r="1961" spans="1:6" s="1" customFormat="1" ht="15" x14ac:dyDescent="0.2">
      <c r="A1961" s="19"/>
      <c r="B1961" s="50"/>
      <c r="C1961" s="50"/>
      <c r="D1961" s="50"/>
      <c r="E1961" s="50"/>
      <c r="F1961" s="61"/>
    </row>
    <row r="1962" spans="1:6" s="1" customFormat="1" ht="15" x14ac:dyDescent="0.2">
      <c r="A1962" s="359" t="s">
        <v>780</v>
      </c>
      <c r="B1962" s="2" t="s">
        <v>186</v>
      </c>
      <c r="C1962" s="2" t="s">
        <v>295</v>
      </c>
      <c r="D1962" s="2" t="s">
        <v>187</v>
      </c>
      <c r="E1962" s="2" t="s">
        <v>188</v>
      </c>
      <c r="F1962" s="28" t="s">
        <v>334</v>
      </c>
    </row>
    <row r="1963" spans="1:6" s="1" customFormat="1" ht="33" customHeight="1" x14ac:dyDescent="0.2">
      <c r="A1963" s="360"/>
      <c r="B1963" s="42" t="s">
        <v>400</v>
      </c>
      <c r="C1963" s="5">
        <v>4</v>
      </c>
      <c r="D1963" s="5">
        <v>0.3</v>
      </c>
      <c r="E1963" s="17">
        <v>0.3</v>
      </c>
      <c r="F1963" s="90">
        <f>D1963*E1963*C1963</f>
        <v>0.36</v>
      </c>
    </row>
    <row r="1964" spans="1:6" s="1" customFormat="1" ht="15" x14ac:dyDescent="0.2">
      <c r="A1964" s="361" t="s">
        <v>195</v>
      </c>
      <c r="B1964" s="362"/>
      <c r="C1964" s="362"/>
      <c r="D1964" s="362"/>
      <c r="E1964" s="362"/>
      <c r="F1964" s="98">
        <f>F1963</f>
        <v>0.36</v>
      </c>
    </row>
    <row r="1965" spans="1:6" s="1" customFormat="1" ht="15" x14ac:dyDescent="0.2">
      <c r="A1965" s="19"/>
      <c r="B1965" s="50"/>
      <c r="C1965" s="50"/>
      <c r="D1965" s="50"/>
      <c r="E1965" s="50"/>
      <c r="F1965" s="61"/>
    </row>
    <row r="1966" spans="1:6" x14ac:dyDescent="0.2">
      <c r="A1966" s="81" t="s">
        <v>574</v>
      </c>
      <c r="B1966" s="349" t="s">
        <v>768</v>
      </c>
      <c r="C1966" s="349"/>
      <c r="D1966" s="349"/>
      <c r="E1966" s="54"/>
      <c r="F1966" s="132">
        <v>1</v>
      </c>
    </row>
    <row r="1967" spans="1:6" ht="39" customHeight="1" x14ac:dyDescent="0.2">
      <c r="A1967" s="80" t="s">
        <v>575</v>
      </c>
      <c r="B1967" s="348" t="s">
        <v>576</v>
      </c>
      <c r="C1967" s="348"/>
      <c r="D1967" s="348"/>
      <c r="E1967" s="25" t="s">
        <v>10</v>
      </c>
      <c r="F1967" s="93">
        <f>E1971</f>
        <v>21</v>
      </c>
    </row>
    <row r="1968" spans="1:6" s="1" customFormat="1" ht="15" x14ac:dyDescent="0.2">
      <c r="A1968" s="19"/>
      <c r="B1968" s="50"/>
      <c r="C1968" s="50"/>
      <c r="D1968" s="50"/>
      <c r="E1968" s="50"/>
      <c r="F1968" s="61"/>
    </row>
    <row r="1969" spans="1:6" s="1" customFormat="1" ht="15" x14ac:dyDescent="0.2">
      <c r="A1969" s="359" t="s">
        <v>786</v>
      </c>
      <c r="B1969" s="2" t="s">
        <v>186</v>
      </c>
      <c r="C1969" s="2" t="s">
        <v>295</v>
      </c>
      <c r="D1969" s="2" t="s">
        <v>361</v>
      </c>
      <c r="E1969" s="2" t="s">
        <v>781</v>
      </c>
      <c r="F1969" s="33"/>
    </row>
    <row r="1970" spans="1:6" s="1" customFormat="1" ht="33" customHeight="1" x14ac:dyDescent="0.2">
      <c r="A1970" s="360"/>
      <c r="B1970" s="42" t="s">
        <v>787</v>
      </c>
      <c r="C1970" s="5">
        <v>14</v>
      </c>
      <c r="D1970" s="5">
        <v>1.5</v>
      </c>
      <c r="E1970" s="17">
        <f>C1970*D1970</f>
        <v>21</v>
      </c>
      <c r="F1970" s="34"/>
    </row>
    <row r="1971" spans="1:6" s="1" customFormat="1" ht="15" x14ac:dyDescent="0.2">
      <c r="A1971" s="367" t="s">
        <v>313</v>
      </c>
      <c r="B1971" s="368"/>
      <c r="C1971" s="368"/>
      <c r="D1971" s="369"/>
      <c r="E1971" s="4">
        <f>SUM(E1970:E1970)</f>
        <v>21</v>
      </c>
      <c r="F1971" s="34"/>
    </row>
    <row r="1972" spans="1:6" s="1" customFormat="1" ht="15" x14ac:dyDescent="0.2">
      <c r="A1972" s="19"/>
      <c r="B1972" s="50"/>
      <c r="C1972" s="50"/>
      <c r="D1972" s="50"/>
      <c r="E1972" s="50"/>
      <c r="F1972" s="61"/>
    </row>
    <row r="1973" spans="1:6" x14ac:dyDescent="0.2">
      <c r="A1973" s="81" t="s">
        <v>577</v>
      </c>
      <c r="B1973" s="349" t="s">
        <v>126</v>
      </c>
      <c r="C1973" s="349"/>
      <c r="D1973" s="349"/>
      <c r="E1973" s="54"/>
      <c r="F1973" s="132">
        <v>1</v>
      </c>
    </row>
    <row r="1974" spans="1:6" x14ac:dyDescent="0.2">
      <c r="A1974" s="81" t="s">
        <v>578</v>
      </c>
      <c r="B1974" s="349" t="s">
        <v>362</v>
      </c>
      <c r="C1974" s="349"/>
      <c r="D1974" s="349"/>
      <c r="E1974" s="54"/>
      <c r="F1974" s="132">
        <v>1</v>
      </c>
    </row>
    <row r="1975" spans="1:6" ht="51.95" customHeight="1" x14ac:dyDescent="0.2">
      <c r="A1975" s="80" t="s">
        <v>789</v>
      </c>
      <c r="B1975" s="348" t="s">
        <v>398</v>
      </c>
      <c r="C1975" s="348"/>
      <c r="D1975" s="348"/>
      <c r="E1975" s="25" t="s">
        <v>386</v>
      </c>
      <c r="F1975" s="93">
        <f>B1980</f>
        <v>733.86</v>
      </c>
    </row>
    <row r="1976" spans="1:6" s="1" customFormat="1" ht="15" x14ac:dyDescent="0.2">
      <c r="A1976" s="19"/>
      <c r="B1976" s="50"/>
      <c r="C1976" s="50"/>
      <c r="D1976" s="50"/>
      <c r="E1976" s="50"/>
      <c r="F1976" s="20"/>
    </row>
    <row r="1977" spans="1:6" s="1" customFormat="1" ht="15" x14ac:dyDescent="0.2">
      <c r="A1977" s="21" t="s">
        <v>186</v>
      </c>
      <c r="B1977" s="2" t="s">
        <v>428</v>
      </c>
      <c r="C1977" s="47"/>
      <c r="D1977" s="47"/>
      <c r="E1977" s="47"/>
      <c r="F1977" s="35"/>
    </row>
    <row r="1978" spans="1:6" s="1" customFormat="1" ht="24.75" customHeight="1" x14ac:dyDescent="0.2">
      <c r="A1978" s="22" t="s">
        <v>409</v>
      </c>
      <c r="B1978" s="3">
        <v>339.66</v>
      </c>
      <c r="C1978" s="70"/>
      <c r="D1978" s="374" t="s">
        <v>782</v>
      </c>
      <c r="E1978" s="374"/>
      <c r="F1978" s="375"/>
    </row>
    <row r="1979" spans="1:6" s="1" customFormat="1" ht="15" x14ac:dyDescent="0.2">
      <c r="A1979" s="22" t="s">
        <v>410</v>
      </c>
      <c r="B1979" s="3">
        <v>394.2</v>
      </c>
      <c r="C1979" s="70"/>
      <c r="D1979" s="70"/>
      <c r="E1979" s="45"/>
      <c r="F1979" s="34"/>
    </row>
    <row r="1980" spans="1:6" s="1" customFormat="1" ht="15" x14ac:dyDescent="0.2">
      <c r="A1980" s="21" t="s">
        <v>401</v>
      </c>
      <c r="B1980" s="2">
        <f>SUM(B1978:B1979)</f>
        <v>733.86</v>
      </c>
      <c r="C1980" s="46"/>
      <c r="D1980" s="46"/>
      <c r="E1980" s="43"/>
      <c r="F1980" s="86"/>
    </row>
    <row r="1981" spans="1:6" s="1" customFormat="1" ht="15" x14ac:dyDescent="0.2">
      <c r="A1981" s="19"/>
      <c r="B1981" s="50"/>
      <c r="C1981" s="50"/>
      <c r="D1981" s="50"/>
      <c r="E1981" s="50"/>
      <c r="F1981" s="20"/>
    </row>
    <row r="1982" spans="1:6" ht="51.95" customHeight="1" x14ac:dyDescent="0.2">
      <c r="A1982" s="80" t="s">
        <v>790</v>
      </c>
      <c r="B1982" s="348" t="s">
        <v>421</v>
      </c>
      <c r="C1982" s="348"/>
      <c r="D1982" s="348"/>
      <c r="E1982" s="25" t="s">
        <v>386</v>
      </c>
      <c r="F1982" s="93">
        <f>B1988</f>
        <v>149.76</v>
      </c>
    </row>
    <row r="1983" spans="1:6" s="1" customFormat="1" ht="15" x14ac:dyDescent="0.2">
      <c r="A1983" s="19"/>
      <c r="B1983" s="50"/>
      <c r="C1983" s="50"/>
      <c r="D1983" s="50"/>
      <c r="E1983" s="50"/>
      <c r="F1983" s="20"/>
    </row>
    <row r="1984" spans="1:6" s="1" customFormat="1" ht="15" x14ac:dyDescent="0.2">
      <c r="A1984" s="21" t="s">
        <v>186</v>
      </c>
      <c r="B1984" s="2" t="s">
        <v>428</v>
      </c>
      <c r="C1984" s="47"/>
      <c r="D1984" s="47"/>
      <c r="E1984" s="47"/>
      <c r="F1984" s="35"/>
    </row>
    <row r="1985" spans="1:6" s="1" customFormat="1" ht="24.75" customHeight="1" x14ac:dyDescent="0.2">
      <c r="A1985" s="22" t="s">
        <v>422</v>
      </c>
      <c r="B1985" s="3">
        <f>82.65+37.42</f>
        <v>120.07000000000001</v>
      </c>
      <c r="C1985" s="70"/>
      <c r="D1985" s="374" t="s">
        <v>782</v>
      </c>
      <c r="E1985" s="374"/>
      <c r="F1985" s="375"/>
    </row>
    <row r="1986" spans="1:6" s="1" customFormat="1" ht="24.75" customHeight="1" x14ac:dyDescent="0.2">
      <c r="A1986" s="22" t="s">
        <v>423</v>
      </c>
      <c r="B1986" s="3">
        <f>6.26+5.35</f>
        <v>11.61</v>
      </c>
      <c r="C1986" s="70"/>
      <c r="D1986" s="70"/>
      <c r="E1986" s="70"/>
      <c r="F1986" s="85"/>
    </row>
    <row r="1987" spans="1:6" s="1" customFormat="1" ht="15" x14ac:dyDescent="0.2">
      <c r="A1987" s="22" t="s">
        <v>793</v>
      </c>
      <c r="B1987" s="3">
        <f>11.4+6.68</f>
        <v>18.079999999999998</v>
      </c>
      <c r="C1987" s="70"/>
      <c r="D1987" s="70"/>
      <c r="E1987" s="45"/>
      <c r="F1987" s="34"/>
    </row>
    <row r="1988" spans="1:6" s="1" customFormat="1" ht="15" x14ac:dyDescent="0.2">
      <c r="A1988" s="21" t="s">
        <v>401</v>
      </c>
      <c r="B1988" s="2">
        <f>SUM(B1985:B1987)</f>
        <v>149.76</v>
      </c>
      <c r="C1988" s="46"/>
      <c r="D1988" s="46"/>
      <c r="E1988" s="43"/>
      <c r="F1988" s="86"/>
    </row>
    <row r="1989" spans="1:6" s="1" customFormat="1" ht="15" x14ac:dyDescent="0.2">
      <c r="A1989" s="19"/>
      <c r="B1989" s="50"/>
      <c r="C1989" s="50"/>
      <c r="D1989" s="50"/>
      <c r="E1989" s="50"/>
      <c r="F1989" s="20"/>
    </row>
    <row r="1990" spans="1:6" ht="51.95" customHeight="1" x14ac:dyDescent="0.2">
      <c r="A1990" s="80" t="s">
        <v>791</v>
      </c>
      <c r="B1990" s="348" t="s">
        <v>406</v>
      </c>
      <c r="C1990" s="348"/>
      <c r="D1990" s="348"/>
      <c r="E1990" s="25" t="s">
        <v>386</v>
      </c>
      <c r="F1990" s="93">
        <f>B1994</f>
        <v>690.58</v>
      </c>
    </row>
    <row r="1991" spans="1:6" s="1" customFormat="1" ht="15" x14ac:dyDescent="0.2">
      <c r="A1991" s="19"/>
      <c r="B1991" s="50"/>
      <c r="C1991" s="50"/>
      <c r="D1991" s="50"/>
      <c r="E1991" s="50"/>
      <c r="F1991" s="20"/>
    </row>
    <row r="1992" spans="1:6" s="1" customFormat="1" ht="28.5" customHeight="1" x14ac:dyDescent="0.2">
      <c r="A1992" s="21" t="s">
        <v>186</v>
      </c>
      <c r="B1992" s="2" t="s">
        <v>428</v>
      </c>
      <c r="C1992" s="47"/>
      <c r="D1992" s="374" t="s">
        <v>782</v>
      </c>
      <c r="E1992" s="374"/>
      <c r="F1992" s="375"/>
    </row>
    <row r="1993" spans="1:6" s="1" customFormat="1" ht="15" x14ac:dyDescent="0.2">
      <c r="A1993" s="22" t="s">
        <v>795</v>
      </c>
      <c r="B1993" s="3">
        <f>690.58</f>
        <v>690.58</v>
      </c>
      <c r="C1993" s="70"/>
      <c r="D1993" s="70"/>
      <c r="E1993" s="45"/>
      <c r="F1993" s="34"/>
    </row>
    <row r="1994" spans="1:6" s="1" customFormat="1" ht="15" x14ac:dyDescent="0.2">
      <c r="A1994" s="21" t="s">
        <v>401</v>
      </c>
      <c r="B1994" s="2">
        <f>SUM(B1993:B1993)</f>
        <v>690.58</v>
      </c>
      <c r="C1994" s="46"/>
      <c r="D1994" s="46"/>
      <c r="E1994" s="43"/>
      <c r="F1994" s="86"/>
    </row>
    <row r="1995" spans="1:6" s="1" customFormat="1" ht="15" x14ac:dyDescent="0.2">
      <c r="A1995" s="19"/>
      <c r="B1995" s="50"/>
      <c r="C1995" s="50"/>
      <c r="D1995" s="50"/>
      <c r="E1995" s="50"/>
      <c r="F1995" s="20"/>
    </row>
    <row r="1996" spans="1:6" ht="26.1" customHeight="1" x14ac:dyDescent="0.2">
      <c r="A1996" s="80" t="s">
        <v>792</v>
      </c>
      <c r="B1996" s="348" t="s">
        <v>387</v>
      </c>
      <c r="C1996" s="348"/>
      <c r="D1996" s="348"/>
      <c r="E1996" s="25" t="s">
        <v>13</v>
      </c>
      <c r="F1996" s="93">
        <f>F1999</f>
        <v>0.55000000000000004</v>
      </c>
    </row>
    <row r="1997" spans="1:6" s="1" customFormat="1" ht="15" x14ac:dyDescent="0.2">
      <c r="A1997" s="19"/>
      <c r="B1997" s="50"/>
      <c r="C1997" s="50"/>
      <c r="D1997" s="50"/>
      <c r="E1997" s="50"/>
      <c r="F1997" s="61"/>
    </row>
    <row r="1998" spans="1:6" s="1" customFormat="1" ht="15" x14ac:dyDescent="0.2">
      <c r="A1998" s="359" t="s">
        <v>780</v>
      </c>
      <c r="B1998" s="2" t="s">
        <v>186</v>
      </c>
      <c r="C1998" s="2" t="s">
        <v>295</v>
      </c>
      <c r="D1998" s="2" t="s">
        <v>187</v>
      </c>
      <c r="E1998" s="2" t="s">
        <v>188</v>
      </c>
      <c r="F1998" s="28" t="s">
        <v>334</v>
      </c>
    </row>
    <row r="1999" spans="1:6" s="1" customFormat="1" ht="33" customHeight="1" x14ac:dyDescent="0.2">
      <c r="A1999" s="360"/>
      <c r="B1999" s="42" t="s">
        <v>796</v>
      </c>
      <c r="C1999" s="5">
        <v>11</v>
      </c>
      <c r="D1999" s="5">
        <v>0.25</v>
      </c>
      <c r="E1999" s="17">
        <v>0.2</v>
      </c>
      <c r="F1999" s="90">
        <f>D1999*E1999*C1999</f>
        <v>0.55000000000000004</v>
      </c>
    </row>
    <row r="2000" spans="1:6" s="1" customFormat="1" ht="15" x14ac:dyDescent="0.2">
      <c r="A2000" s="361" t="s">
        <v>195</v>
      </c>
      <c r="B2000" s="362"/>
      <c r="C2000" s="362"/>
      <c r="D2000" s="362"/>
      <c r="E2000" s="362"/>
      <c r="F2000" s="98">
        <f>F1999</f>
        <v>0.55000000000000004</v>
      </c>
    </row>
    <row r="2001" spans="1:6" s="1" customFormat="1" ht="15" x14ac:dyDescent="0.2">
      <c r="A2001" s="19"/>
      <c r="B2001" s="50"/>
      <c r="C2001" s="50"/>
      <c r="D2001" s="50"/>
      <c r="E2001" s="50"/>
      <c r="F2001" s="61"/>
    </row>
    <row r="2002" spans="1:6" ht="26.1" customHeight="1" x14ac:dyDescent="0.2">
      <c r="A2002" s="80" t="s">
        <v>794</v>
      </c>
      <c r="B2002" s="348" t="s">
        <v>397</v>
      </c>
      <c r="C2002" s="348"/>
      <c r="D2002" s="348"/>
      <c r="E2002" s="25" t="s">
        <v>386</v>
      </c>
      <c r="F2002" s="93">
        <f>B2006</f>
        <v>4441.4399999999996</v>
      </c>
    </row>
    <row r="2003" spans="1:6" s="1" customFormat="1" ht="15" x14ac:dyDescent="0.2">
      <c r="A2003" s="19"/>
      <c r="B2003" s="50"/>
      <c r="C2003" s="50"/>
      <c r="D2003" s="50"/>
      <c r="E2003" s="50"/>
      <c r="F2003" s="20"/>
    </row>
    <row r="2004" spans="1:6" s="1" customFormat="1" ht="28.5" customHeight="1" x14ac:dyDescent="0.2">
      <c r="A2004" s="21" t="s">
        <v>186</v>
      </c>
      <c r="B2004" s="2" t="s">
        <v>428</v>
      </c>
      <c r="C2004" s="47"/>
      <c r="D2004" s="374" t="s">
        <v>782</v>
      </c>
      <c r="E2004" s="374"/>
      <c r="F2004" s="375"/>
    </row>
    <row r="2005" spans="1:6" s="1" customFormat="1" ht="15" x14ac:dyDescent="0.2">
      <c r="A2005" s="22" t="s">
        <v>797</v>
      </c>
      <c r="B2005" s="3">
        <v>4441.4399999999996</v>
      </c>
      <c r="C2005" s="70"/>
      <c r="D2005" s="70"/>
      <c r="E2005" s="45"/>
      <c r="F2005" s="34"/>
    </row>
    <row r="2006" spans="1:6" s="1" customFormat="1" ht="15" x14ac:dyDescent="0.2">
      <c r="A2006" s="21" t="s">
        <v>401</v>
      </c>
      <c r="B2006" s="2">
        <f>SUM(B2005:B2005)</f>
        <v>4441.4399999999996</v>
      </c>
      <c r="C2006" s="46"/>
      <c r="D2006" s="46"/>
      <c r="E2006" s="43"/>
      <c r="F2006" s="86"/>
    </row>
    <row r="2007" spans="1:6" s="1" customFormat="1" ht="15" x14ac:dyDescent="0.2">
      <c r="A2007" s="19"/>
      <c r="B2007" s="50"/>
      <c r="C2007" s="50"/>
      <c r="D2007" s="50"/>
      <c r="E2007" s="50"/>
      <c r="F2007" s="20"/>
    </row>
    <row r="2008" spans="1:6" x14ac:dyDescent="0.2">
      <c r="A2008" s="81" t="s">
        <v>579</v>
      </c>
      <c r="B2008" s="349" t="s">
        <v>768</v>
      </c>
      <c r="C2008" s="349"/>
      <c r="D2008" s="349"/>
      <c r="E2008" s="54"/>
      <c r="F2008" s="132">
        <v>1</v>
      </c>
    </row>
    <row r="2009" spans="1:6" ht="26.1" customHeight="1" x14ac:dyDescent="0.2">
      <c r="A2009" s="80" t="s">
        <v>788</v>
      </c>
      <c r="B2009" s="348" t="s">
        <v>397</v>
      </c>
      <c r="C2009" s="348"/>
      <c r="D2009" s="348"/>
      <c r="E2009" s="25" t="s">
        <v>386</v>
      </c>
      <c r="F2009" s="93">
        <f>22.8</f>
        <v>22.8</v>
      </c>
    </row>
    <row r="2010" spans="1:6" s="1" customFormat="1" ht="15" x14ac:dyDescent="0.2">
      <c r="A2010" s="356" t="s">
        <v>798</v>
      </c>
      <c r="B2010" s="357"/>
      <c r="C2010" s="357"/>
      <c r="D2010" s="357"/>
      <c r="E2010" s="357"/>
      <c r="F2010" s="358"/>
    </row>
    <row r="2011" spans="1:6" ht="39" customHeight="1" x14ac:dyDescent="0.2">
      <c r="A2011" s="80" t="s">
        <v>800</v>
      </c>
      <c r="B2011" s="348" t="s">
        <v>580</v>
      </c>
      <c r="C2011" s="348"/>
      <c r="D2011" s="348"/>
      <c r="E2011" s="25" t="s">
        <v>386</v>
      </c>
      <c r="F2011" s="93">
        <f>82.4</f>
        <v>82.4</v>
      </c>
    </row>
    <row r="2012" spans="1:6" s="1" customFormat="1" ht="15" x14ac:dyDescent="0.2">
      <c r="A2012" s="356" t="s">
        <v>798</v>
      </c>
      <c r="B2012" s="357"/>
      <c r="C2012" s="357"/>
      <c r="D2012" s="357"/>
      <c r="E2012" s="357"/>
      <c r="F2012" s="358"/>
    </row>
    <row r="2013" spans="1:6" ht="39" customHeight="1" x14ac:dyDescent="0.2">
      <c r="A2013" s="80" t="s">
        <v>801</v>
      </c>
      <c r="B2013" s="348" t="s">
        <v>499</v>
      </c>
      <c r="C2013" s="348"/>
      <c r="D2013" s="348"/>
      <c r="E2013" s="25" t="s">
        <v>386</v>
      </c>
      <c r="F2013" s="93">
        <f>32+48.4</f>
        <v>80.400000000000006</v>
      </c>
    </row>
    <row r="2014" spans="1:6" s="1" customFormat="1" ht="15" x14ac:dyDescent="0.2">
      <c r="A2014" s="356" t="s">
        <v>798</v>
      </c>
      <c r="B2014" s="357"/>
      <c r="C2014" s="357"/>
      <c r="D2014" s="357"/>
      <c r="E2014" s="357"/>
      <c r="F2014" s="358"/>
    </row>
    <row r="2015" spans="1:6" ht="39" customHeight="1" x14ac:dyDescent="0.2">
      <c r="A2015" s="80" t="s">
        <v>802</v>
      </c>
      <c r="B2015" s="348" t="s">
        <v>497</v>
      </c>
      <c r="C2015" s="348"/>
      <c r="D2015" s="348"/>
      <c r="E2015" s="25" t="s">
        <v>386</v>
      </c>
      <c r="F2015" s="93">
        <f>100.1</f>
        <v>100.1</v>
      </c>
    </row>
    <row r="2016" spans="1:6" s="1" customFormat="1" ht="15" x14ac:dyDescent="0.2">
      <c r="A2016" s="356" t="s">
        <v>798</v>
      </c>
      <c r="B2016" s="357"/>
      <c r="C2016" s="357"/>
      <c r="D2016" s="357"/>
      <c r="E2016" s="357"/>
      <c r="F2016" s="358"/>
    </row>
    <row r="2017" spans="1:6" ht="51.95" customHeight="1" x14ac:dyDescent="0.2">
      <c r="A2017" s="80" t="s">
        <v>803</v>
      </c>
      <c r="B2017" s="348" t="s">
        <v>491</v>
      </c>
      <c r="C2017" s="348"/>
      <c r="D2017" s="348"/>
      <c r="E2017" s="25" t="s">
        <v>13</v>
      </c>
      <c r="F2017" s="93">
        <f>42.28+24.64</f>
        <v>66.92</v>
      </c>
    </row>
    <row r="2018" spans="1:6" s="1" customFormat="1" ht="15" x14ac:dyDescent="0.2">
      <c r="A2018" s="356" t="s">
        <v>798</v>
      </c>
      <c r="B2018" s="357"/>
      <c r="C2018" s="357"/>
      <c r="D2018" s="357"/>
      <c r="E2018" s="357"/>
      <c r="F2018" s="358"/>
    </row>
    <row r="2019" spans="1:6" ht="39" customHeight="1" x14ac:dyDescent="0.2">
      <c r="A2019" s="80" t="s">
        <v>804</v>
      </c>
      <c r="B2019" s="348" t="s">
        <v>388</v>
      </c>
      <c r="C2019" s="348"/>
      <c r="D2019" s="348"/>
      <c r="E2019" s="25" t="s">
        <v>19</v>
      </c>
      <c r="F2019" s="93">
        <f>1.23+2.66</f>
        <v>3.89</v>
      </c>
    </row>
    <row r="2020" spans="1:6" s="1" customFormat="1" ht="15" x14ac:dyDescent="0.2">
      <c r="A2020" s="356" t="s">
        <v>798</v>
      </c>
      <c r="B2020" s="357"/>
      <c r="C2020" s="357"/>
      <c r="D2020" s="357"/>
      <c r="E2020" s="357"/>
      <c r="F2020" s="358"/>
    </row>
    <row r="2021" spans="1:6" ht="51.95" customHeight="1" x14ac:dyDescent="0.2">
      <c r="A2021" s="80" t="s">
        <v>805</v>
      </c>
      <c r="B2021" s="348" t="s">
        <v>398</v>
      </c>
      <c r="C2021" s="348"/>
      <c r="D2021" s="348"/>
      <c r="E2021" s="25" t="s">
        <v>386</v>
      </c>
      <c r="F2021" s="93">
        <f>B2025</f>
        <v>1949.1</v>
      </c>
    </row>
    <row r="2022" spans="1:6" s="1" customFormat="1" ht="15" x14ac:dyDescent="0.2">
      <c r="A2022" s="19"/>
      <c r="B2022" s="50"/>
      <c r="C2022" s="50"/>
      <c r="D2022" s="50"/>
      <c r="E2022" s="50"/>
      <c r="F2022" s="20"/>
    </row>
    <row r="2023" spans="1:6" s="1" customFormat="1" ht="28.5" customHeight="1" x14ac:dyDescent="0.2">
      <c r="A2023" s="21" t="s">
        <v>186</v>
      </c>
      <c r="B2023" s="2" t="s">
        <v>428</v>
      </c>
      <c r="C2023" s="47"/>
      <c r="D2023" s="374" t="s">
        <v>782</v>
      </c>
      <c r="E2023" s="374"/>
      <c r="F2023" s="375"/>
    </row>
    <row r="2024" spans="1:6" s="1" customFormat="1" ht="15" x14ac:dyDescent="0.2">
      <c r="A2024" s="22" t="s">
        <v>799</v>
      </c>
      <c r="B2024" s="3">
        <v>1949.1</v>
      </c>
      <c r="C2024" s="70"/>
      <c r="D2024" s="70"/>
      <c r="E2024" s="45"/>
      <c r="F2024" s="34"/>
    </row>
    <row r="2025" spans="1:6" s="1" customFormat="1" ht="15" x14ac:dyDescent="0.2">
      <c r="A2025" s="21" t="s">
        <v>401</v>
      </c>
      <c r="B2025" s="2">
        <f>SUM(B2024:B2024)</f>
        <v>1949.1</v>
      </c>
      <c r="C2025" s="46"/>
      <c r="D2025" s="46"/>
      <c r="E2025" s="43"/>
      <c r="F2025" s="86"/>
    </row>
    <row r="2026" spans="1:6" s="1" customFormat="1" ht="15" x14ac:dyDescent="0.2">
      <c r="A2026" s="19"/>
      <c r="B2026" s="50"/>
      <c r="C2026" s="50"/>
      <c r="D2026" s="50"/>
      <c r="E2026" s="50"/>
      <c r="F2026" s="20"/>
    </row>
    <row r="2027" spans="1:6" x14ac:dyDescent="0.2">
      <c r="A2027" s="81" t="s">
        <v>581</v>
      </c>
      <c r="B2027" s="349" t="s">
        <v>582</v>
      </c>
      <c r="C2027" s="349"/>
      <c r="D2027" s="349"/>
      <c r="E2027" s="54"/>
      <c r="F2027" s="132">
        <v>1</v>
      </c>
    </row>
    <row r="2028" spans="1:6" ht="51.95" customHeight="1" x14ac:dyDescent="0.2">
      <c r="A2028" s="80" t="s">
        <v>583</v>
      </c>
      <c r="B2028" s="348" t="s">
        <v>406</v>
      </c>
      <c r="C2028" s="348"/>
      <c r="D2028" s="348"/>
      <c r="E2028" s="25" t="s">
        <v>386</v>
      </c>
      <c r="F2028" s="93">
        <f>B2032</f>
        <v>2543.16</v>
      </c>
    </row>
    <row r="2029" spans="1:6" s="1" customFormat="1" ht="15" x14ac:dyDescent="0.2">
      <c r="A2029" s="19"/>
      <c r="B2029" s="50"/>
      <c r="C2029" s="50"/>
      <c r="D2029" s="50"/>
      <c r="E2029" s="50"/>
      <c r="F2029" s="20"/>
    </row>
    <row r="2030" spans="1:6" s="1" customFormat="1" ht="15" x14ac:dyDescent="0.2">
      <c r="A2030" s="21" t="s">
        <v>186</v>
      </c>
      <c r="B2030" s="2" t="s">
        <v>428</v>
      </c>
      <c r="C2030" s="47"/>
      <c r="D2030" s="47"/>
      <c r="E2030" s="47"/>
      <c r="F2030" s="35"/>
    </row>
    <row r="2031" spans="1:6" s="1" customFormat="1" ht="41.25" customHeight="1" x14ac:dyDescent="0.2">
      <c r="A2031" s="22" t="s">
        <v>807</v>
      </c>
      <c r="B2031" s="3">
        <f>752.62+1552.12+238.42</f>
        <v>2543.16</v>
      </c>
      <c r="C2031" s="70"/>
      <c r="D2031" s="374" t="s">
        <v>806</v>
      </c>
      <c r="E2031" s="374"/>
      <c r="F2031" s="375"/>
    </row>
    <row r="2032" spans="1:6" s="1" customFormat="1" ht="15" x14ac:dyDescent="0.2">
      <c r="A2032" s="21" t="s">
        <v>401</v>
      </c>
      <c r="B2032" s="2">
        <f>SUM(B2031:B2031)</f>
        <v>2543.16</v>
      </c>
      <c r="C2032" s="46"/>
      <c r="D2032" s="46"/>
      <c r="E2032" s="43"/>
      <c r="F2032" s="86"/>
    </row>
    <row r="2033" spans="1:6" s="1" customFormat="1" ht="15" x14ac:dyDescent="0.2">
      <c r="A2033" s="19"/>
      <c r="B2033" s="50"/>
      <c r="C2033" s="50"/>
      <c r="D2033" s="50"/>
      <c r="E2033" s="50"/>
      <c r="F2033" s="20"/>
    </row>
    <row r="2034" spans="1:6" ht="51.95" customHeight="1" x14ac:dyDescent="0.2">
      <c r="A2034" s="80" t="s">
        <v>584</v>
      </c>
      <c r="B2034" s="348" t="s">
        <v>398</v>
      </c>
      <c r="C2034" s="348"/>
      <c r="D2034" s="348"/>
      <c r="E2034" s="25" t="s">
        <v>386</v>
      </c>
      <c r="F2034" s="93">
        <f>B2038</f>
        <v>1965.09</v>
      </c>
    </row>
    <row r="2035" spans="1:6" s="1" customFormat="1" ht="15" x14ac:dyDescent="0.2">
      <c r="A2035" s="19"/>
      <c r="B2035" s="50"/>
      <c r="C2035" s="50"/>
      <c r="D2035" s="50"/>
      <c r="E2035" s="50"/>
      <c r="F2035" s="20"/>
    </row>
    <row r="2036" spans="1:6" s="1" customFormat="1" ht="15" x14ac:dyDescent="0.2">
      <c r="A2036" s="21" t="s">
        <v>186</v>
      </c>
      <c r="B2036" s="2" t="s">
        <v>428</v>
      </c>
      <c r="C2036" s="47"/>
      <c r="D2036" s="47"/>
      <c r="E2036" s="47"/>
      <c r="F2036" s="35"/>
    </row>
    <row r="2037" spans="1:6" s="1" customFormat="1" ht="24.75" customHeight="1" x14ac:dyDescent="0.2">
      <c r="A2037" s="22" t="s">
        <v>808</v>
      </c>
      <c r="B2037" s="3">
        <f>1965.09</f>
        <v>1965.09</v>
      </c>
      <c r="C2037" s="70"/>
      <c r="D2037" s="374" t="s">
        <v>806</v>
      </c>
      <c r="E2037" s="374"/>
      <c r="F2037" s="375"/>
    </row>
    <row r="2038" spans="1:6" s="1" customFormat="1" ht="15" x14ac:dyDescent="0.2">
      <c r="A2038" s="21" t="s">
        <v>401</v>
      </c>
      <c r="B2038" s="2">
        <f>SUM(B2037:B2037)</f>
        <v>1965.09</v>
      </c>
      <c r="C2038" s="46"/>
      <c r="D2038" s="46"/>
      <c r="E2038" s="43"/>
      <c r="F2038" s="86"/>
    </row>
    <row r="2039" spans="1:6" s="1" customFormat="1" ht="15" x14ac:dyDescent="0.2">
      <c r="A2039" s="19"/>
      <c r="B2039" s="50"/>
      <c r="C2039" s="50"/>
      <c r="D2039" s="50"/>
      <c r="E2039" s="50"/>
      <c r="F2039" s="20"/>
    </row>
    <row r="2040" spans="1:6" x14ac:dyDescent="0.2">
      <c r="A2040" s="81" t="s">
        <v>585</v>
      </c>
      <c r="B2040" s="349" t="s">
        <v>586</v>
      </c>
      <c r="C2040" s="349"/>
      <c r="D2040" s="349"/>
      <c r="E2040" s="54"/>
      <c r="F2040" s="132">
        <v>1</v>
      </c>
    </row>
    <row r="2041" spans="1:6" ht="39" customHeight="1" x14ac:dyDescent="0.2">
      <c r="A2041" s="80" t="s">
        <v>587</v>
      </c>
      <c r="B2041" s="348" t="s">
        <v>138</v>
      </c>
      <c r="C2041" s="348"/>
      <c r="D2041" s="348"/>
      <c r="E2041" s="25" t="s">
        <v>13</v>
      </c>
      <c r="F2041" s="93">
        <f>D2048</f>
        <v>229.90370000000001</v>
      </c>
    </row>
    <row r="2042" spans="1:6" s="1" customFormat="1" ht="15" x14ac:dyDescent="0.2">
      <c r="A2042" s="19"/>
      <c r="B2042" s="50"/>
      <c r="C2042" s="50"/>
      <c r="D2042" s="50"/>
      <c r="E2042" s="50"/>
      <c r="F2042" s="20"/>
    </row>
    <row r="2043" spans="1:6" s="1" customFormat="1" ht="15" x14ac:dyDescent="0.2">
      <c r="A2043" s="21" t="s">
        <v>186</v>
      </c>
      <c r="B2043" s="2" t="s">
        <v>187</v>
      </c>
      <c r="C2043" s="2" t="s">
        <v>188</v>
      </c>
      <c r="D2043" s="2" t="s">
        <v>194</v>
      </c>
      <c r="E2043" s="47"/>
      <c r="F2043" s="35"/>
    </row>
    <row r="2044" spans="1:6" s="1" customFormat="1" ht="24.75" customHeight="1" x14ac:dyDescent="0.2">
      <c r="A2044" s="353" t="s">
        <v>809</v>
      </c>
      <c r="B2044" s="3">
        <v>5.67</v>
      </c>
      <c r="C2044" s="3">
        <v>11.63</v>
      </c>
      <c r="D2044" s="351">
        <f>(B2044*C2044)+B2045*C2045</f>
        <v>110.65710000000001</v>
      </c>
      <c r="E2044" s="70"/>
      <c r="F2044" s="85"/>
    </row>
    <row r="2045" spans="1:6" s="1" customFormat="1" ht="15" x14ac:dyDescent="0.2">
      <c r="A2045" s="354"/>
      <c r="B2045" s="3">
        <v>5.5</v>
      </c>
      <c r="C2045" s="3">
        <v>8.1300000000000008</v>
      </c>
      <c r="D2045" s="352"/>
      <c r="E2045" s="45"/>
      <c r="F2045" s="34"/>
    </row>
    <row r="2046" spans="1:6" s="1" customFormat="1" ht="15" x14ac:dyDescent="0.2">
      <c r="A2046" s="353" t="s">
        <v>810</v>
      </c>
      <c r="B2046" s="3">
        <f>3.13</f>
        <v>3.13</v>
      </c>
      <c r="C2046" s="3">
        <v>13.82</v>
      </c>
      <c r="D2046" s="351">
        <f>B2046*C2046+B2047*C2047</f>
        <v>119.2466</v>
      </c>
      <c r="E2046" s="45"/>
      <c r="F2046" s="34"/>
    </row>
    <row r="2047" spans="1:6" s="1" customFormat="1" ht="15" x14ac:dyDescent="0.2">
      <c r="A2047" s="354"/>
      <c r="B2047" s="3">
        <v>5.0999999999999996</v>
      </c>
      <c r="C2047" s="3">
        <v>14.9</v>
      </c>
      <c r="D2047" s="352"/>
      <c r="E2047" s="45"/>
      <c r="F2047" s="34"/>
    </row>
    <row r="2048" spans="1:6" s="1" customFormat="1" ht="15" x14ac:dyDescent="0.2">
      <c r="A2048" s="355" t="s">
        <v>227</v>
      </c>
      <c r="B2048" s="350"/>
      <c r="C2048" s="350"/>
      <c r="D2048" s="2">
        <f>SUM(D2044:D2047)</f>
        <v>229.90370000000001</v>
      </c>
      <c r="E2048" s="43"/>
      <c r="F2048" s="86"/>
    </row>
    <row r="2049" spans="1:6" s="1" customFormat="1" ht="15" x14ac:dyDescent="0.2">
      <c r="A2049" s="19"/>
      <c r="B2049" s="50"/>
      <c r="C2049" s="50"/>
      <c r="D2049" s="50"/>
      <c r="E2049" s="50"/>
      <c r="F2049" s="20"/>
    </row>
    <row r="2050" spans="1:6" ht="40.5" customHeight="1" x14ac:dyDescent="0.2">
      <c r="A2050" s="80" t="s">
        <v>588</v>
      </c>
      <c r="B2050" s="348" t="s">
        <v>1561</v>
      </c>
      <c r="C2050" s="348"/>
      <c r="D2050" s="348"/>
      <c r="E2050" s="25" t="s">
        <v>122</v>
      </c>
      <c r="F2050" s="93">
        <f>B2055</f>
        <v>40.130000000000003</v>
      </c>
    </row>
    <row r="2051" spans="1:6" s="1" customFormat="1" ht="15" x14ac:dyDescent="0.2">
      <c r="A2051" s="19"/>
      <c r="B2051" s="50"/>
      <c r="C2051" s="50"/>
      <c r="D2051" s="50"/>
      <c r="E2051" s="50"/>
      <c r="F2051" s="20"/>
    </row>
    <row r="2052" spans="1:6" s="1" customFormat="1" ht="15" x14ac:dyDescent="0.2">
      <c r="A2052" s="21" t="s">
        <v>186</v>
      </c>
      <c r="B2052" s="2" t="s">
        <v>187</v>
      </c>
      <c r="C2052" s="43"/>
      <c r="D2052" s="43"/>
      <c r="E2052" s="47"/>
      <c r="F2052" s="35"/>
    </row>
    <row r="2053" spans="1:6" s="1" customFormat="1" ht="24.75" customHeight="1" x14ac:dyDescent="0.2">
      <c r="A2053" s="40" t="s">
        <v>809</v>
      </c>
      <c r="B2053" s="3">
        <v>11.63</v>
      </c>
      <c r="C2053" s="50"/>
      <c r="D2053" s="50"/>
      <c r="E2053" s="70"/>
      <c r="F2053" s="85"/>
    </row>
    <row r="2054" spans="1:6" s="1" customFormat="1" ht="15" x14ac:dyDescent="0.2">
      <c r="A2054" s="40" t="s">
        <v>810</v>
      </c>
      <c r="B2054" s="3">
        <v>28.5</v>
      </c>
      <c r="C2054" s="50"/>
      <c r="D2054" s="50"/>
      <c r="E2054" s="45"/>
      <c r="F2054" s="34"/>
    </row>
    <row r="2055" spans="1:6" s="1" customFormat="1" ht="15" x14ac:dyDescent="0.2">
      <c r="A2055" s="21" t="s">
        <v>433</v>
      </c>
      <c r="B2055" s="2">
        <f>SUM(B2053:B2054)</f>
        <v>40.130000000000003</v>
      </c>
      <c r="C2055" s="46"/>
      <c r="D2055" s="43"/>
      <c r="E2055" s="43"/>
      <c r="F2055" s="86"/>
    </row>
    <row r="2056" spans="1:6" s="1" customFormat="1" ht="15" x14ac:dyDescent="0.2">
      <c r="A2056" s="19"/>
      <c r="B2056" s="50"/>
      <c r="C2056" s="50"/>
      <c r="D2056" s="50"/>
      <c r="E2056" s="50"/>
      <c r="F2056" s="20"/>
    </row>
    <row r="2057" spans="1:6" ht="26.1" customHeight="1" x14ac:dyDescent="0.2">
      <c r="A2057" s="80" t="s">
        <v>589</v>
      </c>
      <c r="B2057" s="348" t="s">
        <v>140</v>
      </c>
      <c r="C2057" s="348"/>
      <c r="D2057" s="348"/>
      <c r="E2057" s="25" t="s">
        <v>10</v>
      </c>
      <c r="F2057" s="93">
        <f>B2062</f>
        <v>62.07</v>
      </c>
    </row>
    <row r="2058" spans="1:6" s="1" customFormat="1" ht="15" x14ac:dyDescent="0.2">
      <c r="A2058" s="19"/>
      <c r="B2058" s="50"/>
      <c r="C2058" s="50"/>
      <c r="D2058" s="50"/>
      <c r="E2058" s="50"/>
      <c r="F2058" s="20"/>
    </row>
    <row r="2059" spans="1:6" s="1" customFormat="1" ht="15" x14ac:dyDescent="0.2">
      <c r="A2059" s="21" t="s">
        <v>186</v>
      </c>
      <c r="B2059" s="2" t="s">
        <v>187</v>
      </c>
      <c r="C2059" s="43"/>
      <c r="D2059" s="43"/>
      <c r="E2059" s="47"/>
      <c r="F2059" s="35"/>
    </row>
    <row r="2060" spans="1:6" s="1" customFormat="1" ht="24.75" customHeight="1" x14ac:dyDescent="0.2">
      <c r="A2060" s="40" t="s">
        <v>809</v>
      </c>
      <c r="B2060" s="3">
        <f>11.63+5.67+11.17</f>
        <v>28.47</v>
      </c>
      <c r="C2060" s="50"/>
      <c r="D2060" s="50"/>
      <c r="E2060" s="70"/>
      <c r="F2060" s="85"/>
    </row>
    <row r="2061" spans="1:6" s="1" customFormat="1" ht="15" x14ac:dyDescent="0.2">
      <c r="A2061" s="40" t="s">
        <v>810</v>
      </c>
      <c r="B2061" s="3">
        <f>3.1+13.32+1.97+11.11+4.1</f>
        <v>33.6</v>
      </c>
      <c r="C2061" s="50"/>
      <c r="D2061" s="50"/>
      <c r="E2061" s="45"/>
      <c r="F2061" s="34"/>
    </row>
    <row r="2062" spans="1:6" s="1" customFormat="1" ht="15" x14ac:dyDescent="0.2">
      <c r="A2062" s="21" t="s">
        <v>433</v>
      </c>
      <c r="B2062" s="2">
        <f>SUM(B2060:B2061)</f>
        <v>62.07</v>
      </c>
      <c r="C2062" s="46"/>
      <c r="D2062" s="43"/>
      <c r="E2062" s="43"/>
      <c r="F2062" s="86"/>
    </row>
    <row r="2063" spans="1:6" s="1" customFormat="1" ht="15" x14ac:dyDescent="0.2">
      <c r="A2063" s="19"/>
      <c r="B2063" s="50"/>
      <c r="C2063" s="50"/>
      <c r="D2063" s="50"/>
      <c r="E2063" s="50"/>
      <c r="F2063" s="20"/>
    </row>
    <row r="2064" spans="1:6" ht="24" customHeight="1" x14ac:dyDescent="0.2">
      <c r="A2064" s="80" t="s">
        <v>590</v>
      </c>
      <c r="B2064" s="348" t="s">
        <v>143</v>
      </c>
      <c r="C2064" s="348"/>
      <c r="D2064" s="348"/>
      <c r="E2064" s="25" t="s">
        <v>10</v>
      </c>
      <c r="F2064" s="93">
        <f>D2069</f>
        <v>58.98</v>
      </c>
    </row>
    <row r="2065" spans="1:6" s="1" customFormat="1" ht="15" x14ac:dyDescent="0.2">
      <c r="A2065" s="19"/>
      <c r="B2065" s="50"/>
      <c r="C2065" s="50"/>
      <c r="D2065" s="50"/>
      <c r="E2065" s="50"/>
      <c r="F2065" s="20"/>
    </row>
    <row r="2066" spans="1:6" s="1" customFormat="1" ht="15" x14ac:dyDescent="0.2">
      <c r="A2066" s="21" t="s">
        <v>186</v>
      </c>
      <c r="B2066" s="2" t="s">
        <v>187</v>
      </c>
      <c r="C2066" s="2" t="s">
        <v>188</v>
      </c>
      <c r="D2066" s="2" t="s">
        <v>192</v>
      </c>
      <c r="E2066" s="47"/>
      <c r="F2066" s="35"/>
    </row>
    <row r="2067" spans="1:6" s="1" customFormat="1" ht="24.75" customHeight="1" x14ac:dyDescent="0.2">
      <c r="A2067" s="40" t="s">
        <v>809</v>
      </c>
      <c r="B2067" s="3">
        <f>4.18+5.67+0.3</f>
        <v>10.15</v>
      </c>
      <c r="C2067" s="3">
        <f>(11.63+0.65)</f>
        <v>12.280000000000001</v>
      </c>
      <c r="D2067" s="3">
        <f>B2067+C2067</f>
        <v>22.43</v>
      </c>
      <c r="E2067" s="70"/>
      <c r="F2067" s="85"/>
    </row>
    <row r="2068" spans="1:6" s="1" customFormat="1" ht="15" x14ac:dyDescent="0.2">
      <c r="A2068" s="40" t="s">
        <v>810</v>
      </c>
      <c r="B2068" s="3">
        <f>2.15+5.9</f>
        <v>8.0500000000000007</v>
      </c>
      <c r="C2068" s="3">
        <f>28.5</f>
        <v>28.5</v>
      </c>
      <c r="D2068" s="3">
        <f>B2068+C2068</f>
        <v>36.549999999999997</v>
      </c>
      <c r="E2068" s="45"/>
      <c r="F2068" s="34"/>
    </row>
    <row r="2069" spans="1:6" s="1" customFormat="1" ht="15" x14ac:dyDescent="0.2">
      <c r="A2069" s="355" t="s">
        <v>433</v>
      </c>
      <c r="B2069" s="350"/>
      <c r="C2069" s="350"/>
      <c r="D2069" s="2">
        <f>SUM(D2067:D2068)</f>
        <v>58.98</v>
      </c>
      <c r="E2069" s="43"/>
      <c r="F2069" s="86"/>
    </row>
    <row r="2070" spans="1:6" s="1" customFormat="1" ht="15" x14ac:dyDescent="0.2">
      <c r="A2070" s="19"/>
      <c r="B2070" s="50"/>
      <c r="C2070" s="50"/>
      <c r="D2070" s="50"/>
      <c r="E2070" s="50"/>
      <c r="F2070" s="20"/>
    </row>
    <row r="2071" spans="1:6" ht="26.1" customHeight="1" x14ac:dyDescent="0.2">
      <c r="A2071" s="80" t="s">
        <v>591</v>
      </c>
      <c r="B2071" s="348" t="s">
        <v>592</v>
      </c>
      <c r="C2071" s="348"/>
      <c r="D2071" s="348"/>
      <c r="E2071" s="25" t="s">
        <v>13</v>
      </c>
      <c r="F2071" s="93">
        <f>D2077</f>
        <v>72.551999999999992</v>
      </c>
    </row>
    <row r="2072" spans="1:6" s="1" customFormat="1" ht="15" x14ac:dyDescent="0.2">
      <c r="A2072" s="19"/>
      <c r="B2072" s="50"/>
      <c r="C2072" s="50"/>
      <c r="D2072" s="50"/>
      <c r="E2072" s="50"/>
      <c r="F2072" s="20"/>
    </row>
    <row r="2073" spans="1:6" s="1" customFormat="1" ht="15" x14ac:dyDescent="0.2">
      <c r="A2073" s="21" t="s">
        <v>186</v>
      </c>
      <c r="B2073" s="2" t="s">
        <v>187</v>
      </c>
      <c r="C2073" s="2" t="s">
        <v>188</v>
      </c>
      <c r="D2073" s="2" t="s">
        <v>811</v>
      </c>
      <c r="E2073" s="47"/>
      <c r="F2073" s="35"/>
    </row>
    <row r="2074" spans="1:6" s="1" customFormat="1" ht="24.75" customHeight="1" x14ac:dyDescent="0.2">
      <c r="A2074" s="40" t="s">
        <v>809</v>
      </c>
      <c r="B2074" s="3">
        <v>2.78</v>
      </c>
      <c r="C2074" s="3">
        <f>2.75*3+0.6</f>
        <v>8.85</v>
      </c>
      <c r="D2074" s="3">
        <f>B2074*C2074</f>
        <v>24.602999999999998</v>
      </c>
      <c r="E2074" s="70"/>
      <c r="F2074" s="85"/>
    </row>
    <row r="2075" spans="1:6" s="1" customFormat="1" ht="15" x14ac:dyDescent="0.2">
      <c r="A2075" s="353" t="s">
        <v>812</v>
      </c>
      <c r="B2075" s="3">
        <v>15.54</v>
      </c>
      <c r="C2075" s="3">
        <v>2.85</v>
      </c>
      <c r="D2075" s="351">
        <f>B2075*C2075+B2076*C2076</f>
        <v>47.948999999999998</v>
      </c>
      <c r="E2075" s="45"/>
      <c r="F2075" s="34"/>
    </row>
    <row r="2076" spans="1:6" s="1" customFormat="1" ht="15" x14ac:dyDescent="0.2">
      <c r="A2076" s="354"/>
      <c r="B2076" s="3">
        <v>3</v>
      </c>
      <c r="C2076" s="3">
        <v>1.22</v>
      </c>
      <c r="D2076" s="352"/>
      <c r="E2076" s="45"/>
      <c r="F2076" s="34"/>
    </row>
    <row r="2077" spans="1:6" s="1" customFormat="1" ht="15" x14ac:dyDescent="0.2">
      <c r="A2077" s="355" t="s">
        <v>227</v>
      </c>
      <c r="B2077" s="350"/>
      <c r="C2077" s="350"/>
      <c r="D2077" s="2">
        <f>SUM(D2074:D2076)</f>
        <v>72.551999999999992</v>
      </c>
      <c r="E2077" s="43"/>
      <c r="F2077" s="86"/>
    </row>
    <row r="2078" spans="1:6" s="1" customFormat="1" ht="15" x14ac:dyDescent="0.2">
      <c r="A2078" s="19"/>
      <c r="B2078" s="50"/>
      <c r="C2078" s="50"/>
      <c r="D2078" s="50"/>
      <c r="E2078" s="50"/>
      <c r="F2078" s="20"/>
    </row>
    <row r="2079" spans="1:6" ht="26.1" customHeight="1" x14ac:dyDescent="0.2">
      <c r="A2079" s="80" t="s">
        <v>593</v>
      </c>
      <c r="B2079" s="348" t="s">
        <v>594</v>
      </c>
      <c r="C2079" s="348"/>
      <c r="D2079" s="348"/>
      <c r="E2079" s="25" t="s">
        <v>13</v>
      </c>
      <c r="F2079" s="93">
        <f>D2084</f>
        <v>73.559499999999986</v>
      </c>
    </row>
    <row r="2080" spans="1:6" s="1" customFormat="1" ht="15" x14ac:dyDescent="0.2">
      <c r="A2080" s="19"/>
      <c r="B2080" s="50"/>
      <c r="C2080" s="50"/>
      <c r="D2080" s="50"/>
      <c r="E2080" s="50"/>
      <c r="F2080" s="20"/>
    </row>
    <row r="2081" spans="1:6" s="1" customFormat="1" ht="15" x14ac:dyDescent="0.2">
      <c r="A2081" s="21" t="s">
        <v>186</v>
      </c>
      <c r="B2081" s="2" t="s">
        <v>192</v>
      </c>
      <c r="C2081" s="2" t="s">
        <v>189</v>
      </c>
      <c r="D2081" s="2" t="s">
        <v>811</v>
      </c>
      <c r="E2081" s="47"/>
      <c r="F2081" s="35"/>
    </row>
    <row r="2082" spans="1:6" s="1" customFormat="1" ht="24.75" customHeight="1" x14ac:dyDescent="0.2">
      <c r="A2082" s="40" t="s">
        <v>809</v>
      </c>
      <c r="B2082" s="3">
        <f>D2067</f>
        <v>22.43</v>
      </c>
      <c r="C2082" s="3">
        <v>1.65</v>
      </c>
      <c r="D2082" s="3">
        <f>B2082*C2082</f>
        <v>37.009499999999996</v>
      </c>
      <c r="E2082" s="70"/>
      <c r="F2082" s="85"/>
    </row>
    <row r="2083" spans="1:6" s="1" customFormat="1" ht="15" x14ac:dyDescent="0.2">
      <c r="A2083" s="40" t="s">
        <v>810</v>
      </c>
      <c r="B2083" s="3">
        <f>D2068</f>
        <v>36.549999999999997</v>
      </c>
      <c r="C2083" s="3">
        <v>1</v>
      </c>
      <c r="D2083" s="3">
        <f>B2083*C2083</f>
        <v>36.549999999999997</v>
      </c>
      <c r="E2083" s="45"/>
      <c r="F2083" s="34"/>
    </row>
    <row r="2084" spans="1:6" s="1" customFormat="1" ht="15" x14ac:dyDescent="0.2">
      <c r="A2084" s="355" t="s">
        <v>227</v>
      </c>
      <c r="B2084" s="350"/>
      <c r="C2084" s="350"/>
      <c r="D2084" s="2">
        <f>SUM(D2082:D2083)</f>
        <v>73.559499999999986</v>
      </c>
      <c r="E2084" s="43"/>
      <c r="F2084" s="86"/>
    </row>
    <row r="2085" spans="1:6" s="1" customFormat="1" ht="15" x14ac:dyDescent="0.2">
      <c r="A2085" s="19"/>
      <c r="B2085" s="50"/>
      <c r="C2085" s="50"/>
      <c r="D2085" s="50"/>
      <c r="E2085" s="50"/>
      <c r="F2085" s="20"/>
    </row>
    <row r="2086" spans="1:6" x14ac:dyDescent="0.2">
      <c r="A2086" s="81" t="s">
        <v>595</v>
      </c>
      <c r="B2086" s="349" t="s">
        <v>40</v>
      </c>
      <c r="C2086" s="349"/>
      <c r="D2086" s="349"/>
      <c r="E2086" s="54"/>
      <c r="F2086" s="132">
        <v>1</v>
      </c>
    </row>
    <row r="2087" spans="1:6" x14ac:dyDescent="0.2">
      <c r="A2087" s="81" t="s">
        <v>596</v>
      </c>
      <c r="B2087" s="349" t="s">
        <v>597</v>
      </c>
      <c r="C2087" s="349"/>
      <c r="D2087" s="349"/>
      <c r="E2087" s="54"/>
      <c r="F2087" s="132">
        <v>1</v>
      </c>
    </row>
    <row r="2088" spans="1:6" ht="39" customHeight="1" x14ac:dyDescent="0.2">
      <c r="A2088" s="80" t="s">
        <v>598</v>
      </c>
      <c r="B2088" s="348" t="s">
        <v>599</v>
      </c>
      <c r="C2088" s="348"/>
      <c r="D2088" s="348"/>
      <c r="E2088" s="25" t="s">
        <v>13</v>
      </c>
      <c r="F2088" s="93">
        <f>D2093</f>
        <v>42.216999999999999</v>
      </c>
    </row>
    <row r="2089" spans="1:6" s="1" customFormat="1" ht="15" x14ac:dyDescent="0.2">
      <c r="A2089" s="19"/>
      <c r="B2089" s="50"/>
      <c r="C2089" s="50"/>
      <c r="D2089" s="50"/>
      <c r="E2089" s="50"/>
      <c r="F2089" s="20"/>
    </row>
    <row r="2090" spans="1:6" s="1" customFormat="1" ht="15" x14ac:dyDescent="0.2">
      <c r="A2090" s="21" t="s">
        <v>186</v>
      </c>
      <c r="B2090" s="2" t="s">
        <v>187</v>
      </c>
      <c r="C2090" s="2" t="s">
        <v>189</v>
      </c>
      <c r="D2090" s="2" t="s">
        <v>811</v>
      </c>
      <c r="E2090" s="47"/>
      <c r="F2090" s="35"/>
    </row>
    <row r="2091" spans="1:6" s="1" customFormat="1" ht="24.75" customHeight="1" x14ac:dyDescent="0.2">
      <c r="A2091" s="40" t="s">
        <v>813</v>
      </c>
      <c r="B2091" s="3">
        <f>3.5</f>
        <v>3.5</v>
      </c>
      <c r="C2091" s="3">
        <v>7.35</v>
      </c>
      <c r="D2091" s="3">
        <f>B2091*C2091</f>
        <v>25.724999999999998</v>
      </c>
      <c r="E2091" s="70"/>
      <c r="F2091" s="85"/>
    </row>
    <row r="2092" spans="1:6" s="1" customFormat="1" ht="15" x14ac:dyDescent="0.2">
      <c r="A2092" s="40" t="s">
        <v>814</v>
      </c>
      <c r="B2092" s="3">
        <f>2.8</f>
        <v>2.8</v>
      </c>
      <c r="C2092" s="3">
        <v>5.89</v>
      </c>
      <c r="D2092" s="3">
        <f>B2092*C2092</f>
        <v>16.491999999999997</v>
      </c>
      <c r="E2092" s="45"/>
      <c r="F2092" s="34"/>
    </row>
    <row r="2093" spans="1:6" s="1" customFormat="1" ht="15" x14ac:dyDescent="0.2">
      <c r="A2093" s="355" t="s">
        <v>227</v>
      </c>
      <c r="B2093" s="350"/>
      <c r="C2093" s="350"/>
      <c r="D2093" s="2">
        <f>SUM(D2091:D2092)</f>
        <v>42.216999999999999</v>
      </c>
      <c r="E2093" s="43"/>
      <c r="F2093" s="86"/>
    </row>
    <row r="2094" spans="1:6" s="1" customFormat="1" ht="15" x14ac:dyDescent="0.2">
      <c r="A2094" s="19"/>
      <c r="B2094" s="50"/>
      <c r="C2094" s="50"/>
      <c r="D2094" s="50"/>
      <c r="E2094" s="50"/>
      <c r="F2094" s="20"/>
    </row>
    <row r="2095" spans="1:6" ht="39" customHeight="1" x14ac:dyDescent="0.2">
      <c r="A2095" s="80" t="s">
        <v>600</v>
      </c>
      <c r="B2095" s="348" t="s">
        <v>77</v>
      </c>
      <c r="C2095" s="348"/>
      <c r="D2095" s="348"/>
      <c r="E2095" s="25" t="s">
        <v>13</v>
      </c>
      <c r="F2095" s="93">
        <f>D2100</f>
        <v>84.433999999999997</v>
      </c>
    </row>
    <row r="2096" spans="1:6" s="1" customFormat="1" ht="15" x14ac:dyDescent="0.2">
      <c r="A2096" s="19"/>
      <c r="B2096" s="50"/>
      <c r="C2096" s="50"/>
      <c r="D2096" s="50"/>
      <c r="E2096" s="50"/>
      <c r="F2096" s="20"/>
    </row>
    <row r="2097" spans="1:6" s="1" customFormat="1" ht="15" x14ac:dyDescent="0.2">
      <c r="A2097" s="21" t="s">
        <v>186</v>
      </c>
      <c r="B2097" s="2" t="s">
        <v>187</v>
      </c>
      <c r="C2097" s="2" t="s">
        <v>189</v>
      </c>
      <c r="D2097" s="2" t="s">
        <v>815</v>
      </c>
      <c r="E2097" s="47"/>
      <c r="F2097" s="35"/>
    </row>
    <row r="2098" spans="1:6" s="1" customFormat="1" ht="24.75" customHeight="1" x14ac:dyDescent="0.2">
      <c r="A2098" s="40" t="s">
        <v>813</v>
      </c>
      <c r="B2098" s="3">
        <f>3.5</f>
        <v>3.5</v>
      </c>
      <c r="C2098" s="3">
        <v>7.35</v>
      </c>
      <c r="D2098" s="3">
        <f>B2098*C2098*2</f>
        <v>51.449999999999996</v>
      </c>
      <c r="E2098" s="70"/>
      <c r="F2098" s="85"/>
    </row>
    <row r="2099" spans="1:6" s="1" customFormat="1" ht="15" x14ac:dyDescent="0.2">
      <c r="A2099" s="40" t="s">
        <v>814</v>
      </c>
      <c r="B2099" s="3">
        <f>2.8</f>
        <v>2.8</v>
      </c>
      <c r="C2099" s="3">
        <v>5.89</v>
      </c>
      <c r="D2099" s="3">
        <f>B2099*C2099*2</f>
        <v>32.983999999999995</v>
      </c>
      <c r="E2099" s="45"/>
      <c r="F2099" s="34"/>
    </row>
    <row r="2100" spans="1:6" s="1" customFormat="1" ht="15" x14ac:dyDescent="0.2">
      <c r="A2100" s="355" t="s">
        <v>227</v>
      </c>
      <c r="B2100" s="350"/>
      <c r="C2100" s="350"/>
      <c r="D2100" s="2">
        <f>SUM(D2098:D2099)</f>
        <v>84.433999999999997</v>
      </c>
      <c r="E2100" s="43"/>
      <c r="F2100" s="86"/>
    </row>
    <row r="2101" spans="1:6" s="1" customFormat="1" ht="15" x14ac:dyDescent="0.2">
      <c r="A2101" s="19"/>
      <c r="B2101" s="50"/>
      <c r="C2101" s="50"/>
      <c r="D2101" s="50"/>
      <c r="E2101" s="50"/>
      <c r="F2101" s="20"/>
    </row>
    <row r="2102" spans="1:6" x14ac:dyDescent="0.2">
      <c r="A2102" s="81" t="s">
        <v>601</v>
      </c>
      <c r="B2102" s="349" t="s">
        <v>602</v>
      </c>
      <c r="C2102" s="349"/>
      <c r="D2102" s="349"/>
      <c r="E2102" s="54"/>
      <c r="F2102" s="132">
        <v>1</v>
      </c>
    </row>
    <row r="2103" spans="1:6" ht="39" customHeight="1" x14ac:dyDescent="0.2">
      <c r="A2103" s="80" t="s">
        <v>603</v>
      </c>
      <c r="B2103" s="348" t="s">
        <v>604</v>
      </c>
      <c r="C2103" s="348"/>
      <c r="D2103" s="348"/>
      <c r="E2103" s="25" t="s">
        <v>13</v>
      </c>
      <c r="F2103" s="93">
        <f>E2106</f>
        <v>4.7911111111111122</v>
      </c>
    </row>
    <row r="2104" spans="1:6" s="1" customFormat="1" ht="15" x14ac:dyDescent="0.2">
      <c r="A2104" s="19"/>
      <c r="B2104" s="50"/>
      <c r="C2104" s="50"/>
      <c r="D2104" s="50"/>
      <c r="E2104" s="50"/>
      <c r="F2104" s="20"/>
    </row>
    <row r="2105" spans="1:6" s="1" customFormat="1" ht="38.25" x14ac:dyDescent="0.2">
      <c r="A2105" s="21" t="s">
        <v>824</v>
      </c>
      <c r="B2105" s="2" t="s">
        <v>825</v>
      </c>
      <c r="C2105" s="2" t="s">
        <v>826</v>
      </c>
      <c r="D2105" s="2" t="s">
        <v>811</v>
      </c>
      <c r="E2105" s="2" t="s">
        <v>828</v>
      </c>
      <c r="F2105" s="33"/>
    </row>
    <row r="2106" spans="1:6" s="1" customFormat="1" ht="24.75" customHeight="1" x14ac:dyDescent="0.2">
      <c r="A2106" s="22">
        <v>2.52</v>
      </c>
      <c r="B2106" s="3">
        <v>75.460000000000008</v>
      </c>
      <c r="C2106" s="3">
        <v>29.944444444444446</v>
      </c>
      <c r="D2106" s="3">
        <f>0.4*0.4</f>
        <v>0.16000000000000003</v>
      </c>
      <c r="E2106" s="3">
        <f>D2106*C2106</f>
        <v>4.7911111111111122</v>
      </c>
      <c r="F2106" s="99"/>
    </row>
    <row r="2107" spans="1:6" s="1" customFormat="1" ht="15" x14ac:dyDescent="0.2">
      <c r="A2107" s="19"/>
      <c r="B2107" s="50"/>
      <c r="C2107" s="50"/>
      <c r="D2107" s="50"/>
      <c r="E2107" s="50"/>
      <c r="F2107" s="20"/>
    </row>
    <row r="2108" spans="1:6" ht="24" customHeight="1" x14ac:dyDescent="0.2">
      <c r="A2108" s="80" t="s">
        <v>605</v>
      </c>
      <c r="B2108" s="348" t="s">
        <v>606</v>
      </c>
      <c r="C2108" s="348"/>
      <c r="D2108" s="348"/>
      <c r="E2108" s="25" t="s">
        <v>19</v>
      </c>
      <c r="F2108" s="93">
        <f>F2111</f>
        <v>1.1229166666666668</v>
      </c>
    </row>
    <row r="2109" spans="1:6" s="1" customFormat="1" ht="15" x14ac:dyDescent="0.2">
      <c r="A2109" s="19"/>
      <c r="B2109" s="50"/>
      <c r="C2109" s="50"/>
      <c r="D2109" s="50"/>
      <c r="E2109" s="50"/>
      <c r="F2109" s="20"/>
    </row>
    <row r="2110" spans="1:6" s="1" customFormat="1" ht="38.25" x14ac:dyDescent="0.2">
      <c r="A2110" s="21" t="s">
        <v>824</v>
      </c>
      <c r="B2110" s="2" t="s">
        <v>825</v>
      </c>
      <c r="C2110" s="2" t="s">
        <v>826</v>
      </c>
      <c r="D2110" s="2" t="s">
        <v>811</v>
      </c>
      <c r="E2110" s="2" t="s">
        <v>361</v>
      </c>
      <c r="F2110" s="28" t="s">
        <v>827</v>
      </c>
    </row>
    <row r="2111" spans="1:6" s="1" customFormat="1" ht="24.75" customHeight="1" x14ac:dyDescent="0.2">
      <c r="A2111" s="22">
        <v>2.52</v>
      </c>
      <c r="B2111" s="3">
        <f>B2123</f>
        <v>75.460000000000008</v>
      </c>
      <c r="C2111" s="3">
        <f>B2111/A2111</f>
        <v>29.944444444444446</v>
      </c>
      <c r="D2111" s="3">
        <f>0.25*0.25</f>
        <v>6.25E-2</v>
      </c>
      <c r="E2111" s="3">
        <f>0.6</f>
        <v>0.6</v>
      </c>
      <c r="F2111" s="90">
        <f>D2111*E2111*C2111</f>
        <v>1.1229166666666668</v>
      </c>
    </row>
    <row r="2112" spans="1:6" s="1" customFormat="1" ht="15" x14ac:dyDescent="0.2">
      <c r="A2112" s="19"/>
      <c r="B2112" s="50"/>
      <c r="C2112" s="50"/>
      <c r="D2112" s="50"/>
      <c r="E2112" s="50"/>
      <c r="F2112" s="20"/>
    </row>
    <row r="2113" spans="1:6" ht="26.1" customHeight="1" x14ac:dyDescent="0.2">
      <c r="A2113" s="80" t="s">
        <v>607</v>
      </c>
      <c r="B2113" s="348" t="s">
        <v>608</v>
      </c>
      <c r="C2113" s="348"/>
      <c r="D2113" s="348"/>
      <c r="E2113" s="25" t="s">
        <v>10</v>
      </c>
      <c r="F2113" s="93">
        <f>B2123</f>
        <v>75.460000000000008</v>
      </c>
    </row>
    <row r="2114" spans="1:6" s="1" customFormat="1" ht="15" x14ac:dyDescent="0.2">
      <c r="A2114" s="19"/>
      <c r="B2114" s="50"/>
      <c r="C2114" s="50"/>
      <c r="D2114" s="50"/>
      <c r="E2114" s="50"/>
      <c r="F2114" s="20"/>
    </row>
    <row r="2115" spans="1:6" s="1" customFormat="1" ht="38.25" x14ac:dyDescent="0.2">
      <c r="A2115" s="21" t="s">
        <v>817</v>
      </c>
      <c r="B2115" s="2" t="s">
        <v>187</v>
      </c>
      <c r="C2115" s="43"/>
      <c r="D2115" s="43"/>
      <c r="E2115" s="47"/>
      <c r="F2115" s="35"/>
    </row>
    <row r="2116" spans="1:6" s="1" customFormat="1" ht="24.75" customHeight="1" x14ac:dyDescent="0.2">
      <c r="A2116" s="40" t="s">
        <v>816</v>
      </c>
      <c r="B2116" s="3">
        <v>4.8099999999999996</v>
      </c>
      <c r="C2116" s="50"/>
      <c r="D2116" s="50"/>
      <c r="E2116" s="70"/>
      <c r="F2116" s="85"/>
    </row>
    <row r="2117" spans="1:6" s="1" customFormat="1" ht="15" x14ac:dyDescent="0.2">
      <c r="A2117" s="40" t="s">
        <v>818</v>
      </c>
      <c r="B2117" s="3">
        <v>14.03</v>
      </c>
      <c r="C2117" s="50"/>
      <c r="D2117" s="50"/>
      <c r="E2117" s="45"/>
      <c r="F2117" s="34"/>
    </row>
    <row r="2118" spans="1:6" s="1" customFormat="1" ht="24.75" customHeight="1" x14ac:dyDescent="0.2">
      <c r="A2118" s="40" t="s">
        <v>819</v>
      </c>
      <c r="B2118" s="3">
        <v>10.9</v>
      </c>
      <c r="C2118" s="50"/>
      <c r="D2118" s="50"/>
      <c r="E2118" s="70"/>
      <c r="F2118" s="85"/>
    </row>
    <row r="2119" spans="1:6" s="1" customFormat="1" ht="15" x14ac:dyDescent="0.2">
      <c r="A2119" s="40" t="s">
        <v>820</v>
      </c>
      <c r="B2119" s="3">
        <v>6.86</v>
      </c>
      <c r="C2119" s="50"/>
      <c r="D2119" s="50"/>
      <c r="E2119" s="45"/>
      <c r="F2119" s="34"/>
    </row>
    <row r="2120" spans="1:6" s="1" customFormat="1" ht="24.75" customHeight="1" x14ac:dyDescent="0.2">
      <c r="A2120" s="40" t="s">
        <v>821</v>
      </c>
      <c r="B2120" s="3">
        <v>20.65</v>
      </c>
      <c r="C2120" s="50"/>
      <c r="D2120" s="50"/>
      <c r="E2120" s="70"/>
      <c r="F2120" s="85"/>
    </row>
    <row r="2121" spans="1:6" s="1" customFormat="1" ht="15" x14ac:dyDescent="0.2">
      <c r="A2121" s="40" t="s">
        <v>822</v>
      </c>
      <c r="B2121" s="3">
        <v>7</v>
      </c>
      <c r="C2121" s="50"/>
      <c r="D2121" s="50"/>
      <c r="E2121" s="45"/>
      <c r="F2121" s="34"/>
    </row>
    <row r="2122" spans="1:6" s="1" customFormat="1" ht="15" x14ac:dyDescent="0.2">
      <c r="A2122" s="40" t="s">
        <v>823</v>
      </c>
      <c r="B2122" s="3">
        <v>11.21</v>
      </c>
      <c r="C2122" s="50"/>
      <c r="D2122" s="50"/>
      <c r="E2122" s="45"/>
      <c r="F2122" s="34"/>
    </row>
    <row r="2123" spans="1:6" s="1" customFormat="1" ht="15" x14ac:dyDescent="0.2">
      <c r="A2123" s="21" t="s">
        <v>433</v>
      </c>
      <c r="B2123" s="2">
        <f>SUM(B2116:B2122)</f>
        <v>75.460000000000008</v>
      </c>
      <c r="C2123" s="46"/>
      <c r="D2123" s="43"/>
      <c r="E2123" s="43"/>
      <c r="F2123" s="86"/>
    </row>
    <row r="2124" spans="1:6" s="1" customFormat="1" ht="15" x14ac:dyDescent="0.2">
      <c r="A2124" s="19"/>
      <c r="B2124" s="50"/>
      <c r="C2124" s="50"/>
      <c r="D2124" s="50"/>
      <c r="E2124" s="50"/>
      <c r="F2124" s="20"/>
    </row>
    <row r="2125" spans="1:6" x14ac:dyDescent="0.2">
      <c r="A2125" s="81" t="s">
        <v>609</v>
      </c>
      <c r="B2125" s="349" t="s">
        <v>610</v>
      </c>
      <c r="C2125" s="349"/>
      <c r="D2125" s="349"/>
      <c r="E2125" s="54"/>
      <c r="F2125" s="132">
        <v>1</v>
      </c>
    </row>
    <row r="2126" spans="1:6" ht="24" customHeight="1" x14ac:dyDescent="0.2">
      <c r="A2126" s="80" t="s">
        <v>611</v>
      </c>
      <c r="B2126" s="348" t="s">
        <v>612</v>
      </c>
      <c r="C2126" s="348"/>
      <c r="D2126" s="348"/>
      <c r="E2126" s="25" t="s">
        <v>13</v>
      </c>
      <c r="F2126" s="93">
        <f>B2136</f>
        <v>75.460000000000008</v>
      </c>
    </row>
    <row r="2127" spans="1:6" s="1" customFormat="1" ht="15" x14ac:dyDescent="0.2">
      <c r="A2127" s="19"/>
      <c r="B2127" s="50"/>
      <c r="C2127" s="50"/>
      <c r="D2127" s="50"/>
      <c r="E2127" s="50"/>
      <c r="F2127" s="20"/>
    </row>
    <row r="2128" spans="1:6" s="1" customFormat="1" ht="38.25" x14ac:dyDescent="0.2">
      <c r="A2128" s="21" t="s">
        <v>817</v>
      </c>
      <c r="B2128" s="2" t="s">
        <v>187</v>
      </c>
      <c r="C2128" s="43"/>
      <c r="D2128" s="43"/>
      <c r="E2128" s="47"/>
      <c r="F2128" s="35"/>
    </row>
    <row r="2129" spans="1:6" s="1" customFormat="1" ht="24.75" customHeight="1" x14ac:dyDescent="0.2">
      <c r="A2129" s="40" t="s">
        <v>816</v>
      </c>
      <c r="B2129" s="3">
        <v>4.8099999999999996</v>
      </c>
      <c r="C2129" s="50"/>
      <c r="D2129" s="50"/>
      <c r="E2129" s="70"/>
      <c r="F2129" s="85"/>
    </row>
    <row r="2130" spans="1:6" s="1" customFormat="1" ht="15" x14ac:dyDescent="0.2">
      <c r="A2130" s="40" t="s">
        <v>818</v>
      </c>
      <c r="B2130" s="3">
        <v>14.03</v>
      </c>
      <c r="C2130" s="50"/>
      <c r="D2130" s="50"/>
      <c r="E2130" s="45"/>
      <c r="F2130" s="34"/>
    </row>
    <row r="2131" spans="1:6" s="1" customFormat="1" ht="24.75" customHeight="1" x14ac:dyDescent="0.2">
      <c r="A2131" s="40" t="s">
        <v>819</v>
      </c>
      <c r="B2131" s="3">
        <v>10.9</v>
      </c>
      <c r="C2131" s="50"/>
      <c r="D2131" s="50"/>
      <c r="E2131" s="70"/>
      <c r="F2131" s="85"/>
    </row>
    <row r="2132" spans="1:6" s="1" customFormat="1" ht="15" x14ac:dyDescent="0.2">
      <c r="A2132" s="40" t="s">
        <v>820</v>
      </c>
      <c r="B2132" s="3">
        <v>6.86</v>
      </c>
      <c r="C2132" s="50"/>
      <c r="D2132" s="50"/>
      <c r="E2132" s="45"/>
      <c r="F2132" s="34"/>
    </row>
    <row r="2133" spans="1:6" s="1" customFormat="1" ht="24.75" customHeight="1" x14ac:dyDescent="0.2">
      <c r="A2133" s="40" t="s">
        <v>821</v>
      </c>
      <c r="B2133" s="3">
        <v>20.65</v>
      </c>
      <c r="C2133" s="50"/>
      <c r="D2133" s="50"/>
      <c r="E2133" s="70"/>
      <c r="F2133" s="85"/>
    </row>
    <row r="2134" spans="1:6" s="1" customFormat="1" ht="15" x14ac:dyDescent="0.2">
      <c r="A2134" s="40" t="s">
        <v>822</v>
      </c>
      <c r="B2134" s="3">
        <v>7</v>
      </c>
      <c r="C2134" s="50"/>
      <c r="D2134" s="50"/>
      <c r="E2134" s="45"/>
      <c r="F2134" s="34"/>
    </row>
    <row r="2135" spans="1:6" s="1" customFormat="1" ht="15" x14ac:dyDescent="0.2">
      <c r="A2135" s="40" t="s">
        <v>823</v>
      </c>
      <c r="B2135" s="3">
        <v>11.21</v>
      </c>
      <c r="C2135" s="50"/>
      <c r="D2135" s="50"/>
      <c r="E2135" s="45"/>
      <c r="F2135" s="34"/>
    </row>
    <row r="2136" spans="1:6" s="1" customFormat="1" ht="15" x14ac:dyDescent="0.2">
      <c r="A2136" s="21" t="s">
        <v>433</v>
      </c>
      <c r="B2136" s="2">
        <f>SUM(B2129:B2135)</f>
        <v>75.460000000000008</v>
      </c>
      <c r="C2136" s="46"/>
      <c r="D2136" s="43"/>
      <c r="E2136" s="43"/>
      <c r="F2136" s="86"/>
    </row>
    <row r="2137" spans="1:6" s="1" customFormat="1" ht="15" x14ac:dyDescent="0.2">
      <c r="A2137" s="19"/>
      <c r="B2137" s="50"/>
      <c r="C2137" s="50"/>
      <c r="D2137" s="50"/>
      <c r="E2137" s="50"/>
      <c r="F2137" s="20"/>
    </row>
    <row r="2138" spans="1:6" x14ac:dyDescent="0.2">
      <c r="A2138" s="81" t="s">
        <v>613</v>
      </c>
      <c r="B2138" s="349" t="s">
        <v>43</v>
      </c>
      <c r="C2138" s="349"/>
      <c r="D2138" s="349"/>
      <c r="E2138" s="54"/>
      <c r="F2138" s="132">
        <v>1</v>
      </c>
    </row>
    <row r="2139" spans="1:6" x14ac:dyDescent="0.2">
      <c r="A2139" s="81" t="s">
        <v>614</v>
      </c>
      <c r="B2139" s="349" t="s">
        <v>55</v>
      </c>
      <c r="C2139" s="349"/>
      <c r="D2139" s="349"/>
      <c r="E2139" s="54"/>
      <c r="F2139" s="132">
        <v>1</v>
      </c>
    </row>
    <row r="2140" spans="1:6" ht="39" customHeight="1" x14ac:dyDescent="0.2">
      <c r="A2140" s="80" t="s">
        <v>615</v>
      </c>
      <c r="B2140" s="348" t="s">
        <v>616</v>
      </c>
      <c r="C2140" s="348"/>
      <c r="D2140" s="348"/>
      <c r="E2140" s="25" t="s">
        <v>13</v>
      </c>
      <c r="F2140" s="93">
        <f>1338.64</f>
        <v>1338.64</v>
      </c>
    </row>
    <row r="2141" spans="1:6" s="1" customFormat="1" ht="15" x14ac:dyDescent="0.2">
      <c r="A2141" s="356" t="s">
        <v>829</v>
      </c>
      <c r="B2141" s="357"/>
      <c r="C2141" s="357"/>
      <c r="D2141" s="357"/>
      <c r="E2141" s="357"/>
      <c r="F2141" s="358"/>
    </row>
    <row r="2142" spans="1:6" ht="51.95" customHeight="1" x14ac:dyDescent="0.2">
      <c r="A2142" s="80" t="s">
        <v>617</v>
      </c>
      <c r="B2142" s="348" t="s">
        <v>618</v>
      </c>
      <c r="C2142" s="348"/>
      <c r="D2142" s="348"/>
      <c r="E2142" s="25" t="s">
        <v>13</v>
      </c>
      <c r="F2142" s="93">
        <f>B2145</f>
        <v>256.24</v>
      </c>
    </row>
    <row r="2143" spans="1:6" s="1" customFormat="1" ht="15" x14ac:dyDescent="0.2">
      <c r="A2143" s="19"/>
      <c r="B2143" s="50"/>
      <c r="C2143" s="50"/>
      <c r="D2143" s="50"/>
      <c r="E2143" s="50"/>
      <c r="F2143" s="20"/>
    </row>
    <row r="2144" spans="1:6" s="1" customFormat="1" ht="26.25" customHeight="1" x14ac:dyDescent="0.2">
      <c r="A2144" s="21" t="s">
        <v>725</v>
      </c>
      <c r="B2144" s="2" t="s">
        <v>334</v>
      </c>
      <c r="C2144" s="47"/>
      <c r="D2144" s="47"/>
      <c r="E2144" s="43"/>
      <c r="F2144" s="33"/>
    </row>
    <row r="2145" spans="1:6" s="1" customFormat="1" ht="25.5" customHeight="1" x14ac:dyDescent="0.2">
      <c r="A2145" s="97" t="s">
        <v>726</v>
      </c>
      <c r="B2145" s="3">
        <f>19.29+236.95</f>
        <v>256.24</v>
      </c>
      <c r="C2145" s="70"/>
      <c r="D2145" s="70"/>
      <c r="E2145" s="45"/>
      <c r="F2145" s="34"/>
    </row>
    <row r="2146" spans="1:6" s="1" customFormat="1" ht="15" x14ac:dyDescent="0.2">
      <c r="A2146" s="19"/>
      <c r="B2146" s="50"/>
      <c r="C2146" s="50"/>
      <c r="D2146" s="50"/>
      <c r="E2146" s="50"/>
      <c r="F2146" s="20"/>
    </row>
    <row r="2147" spans="1:6" ht="24" customHeight="1" x14ac:dyDescent="0.2">
      <c r="A2147" s="80" t="s">
        <v>619</v>
      </c>
      <c r="B2147" s="348" t="s">
        <v>620</v>
      </c>
      <c r="C2147" s="348"/>
      <c r="D2147" s="348"/>
      <c r="E2147" s="25" t="s">
        <v>13</v>
      </c>
      <c r="F2147" s="93">
        <f>B2152</f>
        <v>74.650000000000006</v>
      </c>
    </row>
    <row r="2148" spans="1:6" s="1" customFormat="1" ht="15" x14ac:dyDescent="0.2">
      <c r="A2148" s="19"/>
      <c r="B2148" s="50"/>
      <c r="C2148" s="50"/>
      <c r="D2148" s="50"/>
      <c r="E2148" s="50"/>
      <c r="F2148" s="20"/>
    </row>
    <row r="2149" spans="1:6" s="1" customFormat="1" ht="26.25" customHeight="1" x14ac:dyDescent="0.2">
      <c r="A2149" s="21" t="s">
        <v>725</v>
      </c>
      <c r="B2149" s="2" t="s">
        <v>334</v>
      </c>
      <c r="C2149" s="47"/>
      <c r="D2149" s="47"/>
      <c r="E2149" s="43"/>
      <c r="F2149" s="33"/>
    </row>
    <row r="2150" spans="1:6" s="1" customFormat="1" ht="25.5" customHeight="1" x14ac:dyDescent="0.2">
      <c r="A2150" s="97" t="s">
        <v>771</v>
      </c>
      <c r="B2150" s="3">
        <v>33.86</v>
      </c>
      <c r="C2150" s="70"/>
      <c r="D2150" s="70"/>
      <c r="E2150" s="45"/>
      <c r="F2150" s="34"/>
    </row>
    <row r="2151" spans="1:6" s="1" customFormat="1" ht="25.5" customHeight="1" x14ac:dyDescent="0.2">
      <c r="A2151" s="97" t="s">
        <v>830</v>
      </c>
      <c r="B2151" s="3">
        <v>40.79</v>
      </c>
      <c r="C2151" s="70"/>
      <c r="D2151" s="70"/>
      <c r="E2151" s="45"/>
      <c r="F2151" s="34"/>
    </row>
    <row r="2152" spans="1:6" s="1" customFormat="1" ht="15" x14ac:dyDescent="0.2">
      <c r="A2152" s="21" t="s">
        <v>227</v>
      </c>
      <c r="B2152" s="2">
        <f>SUM(B2150:B2151)</f>
        <v>74.650000000000006</v>
      </c>
      <c r="C2152" s="46"/>
      <c r="D2152" s="43"/>
      <c r="E2152" s="43"/>
      <c r="F2152" s="86"/>
    </row>
    <row r="2153" spans="1:6" s="1" customFormat="1" ht="15" x14ac:dyDescent="0.2">
      <c r="A2153" s="19"/>
      <c r="B2153" s="50"/>
      <c r="C2153" s="50"/>
      <c r="D2153" s="50"/>
      <c r="E2153" s="50"/>
      <c r="F2153" s="20"/>
    </row>
    <row r="2154" spans="1:6" ht="26.1" customHeight="1" x14ac:dyDescent="0.2">
      <c r="A2154" s="80" t="s">
        <v>621</v>
      </c>
      <c r="B2154" s="348" t="s">
        <v>150</v>
      </c>
      <c r="C2154" s="348"/>
      <c r="D2154" s="348"/>
      <c r="E2154" s="25" t="s">
        <v>13</v>
      </c>
      <c r="F2154" s="93">
        <f>1033.18</f>
        <v>1033.18</v>
      </c>
    </row>
    <row r="2155" spans="1:6" s="1" customFormat="1" ht="15" x14ac:dyDescent="0.2">
      <c r="A2155" s="356" t="s">
        <v>829</v>
      </c>
      <c r="B2155" s="357"/>
      <c r="C2155" s="357"/>
      <c r="D2155" s="357"/>
      <c r="E2155" s="357"/>
      <c r="F2155" s="358"/>
    </row>
    <row r="2156" spans="1:6" x14ac:dyDescent="0.2">
      <c r="A2156" s="81" t="s">
        <v>622</v>
      </c>
      <c r="B2156" s="349" t="s">
        <v>45</v>
      </c>
      <c r="C2156" s="349"/>
      <c r="D2156" s="349"/>
      <c r="E2156" s="54"/>
      <c r="F2156" s="132">
        <v>1</v>
      </c>
    </row>
    <row r="2157" spans="1:6" ht="26.1" customHeight="1" x14ac:dyDescent="0.2">
      <c r="A2157" s="80" t="s">
        <v>623</v>
      </c>
      <c r="B2157" s="348" t="s">
        <v>624</v>
      </c>
      <c r="C2157" s="348"/>
      <c r="D2157" s="348"/>
      <c r="E2157" s="25" t="s">
        <v>13</v>
      </c>
      <c r="F2157" s="93">
        <f>E2160</f>
        <v>30.878999999999998</v>
      </c>
    </row>
    <row r="2158" spans="1:6" s="1" customFormat="1" ht="15" x14ac:dyDescent="0.2">
      <c r="A2158" s="19"/>
      <c r="B2158" s="50"/>
      <c r="C2158" s="50"/>
      <c r="D2158" s="50"/>
      <c r="E2158" s="50"/>
      <c r="F2158" s="20"/>
    </row>
    <row r="2159" spans="1:6" s="1" customFormat="1" ht="15" x14ac:dyDescent="0.2">
      <c r="A2159" s="21" t="s">
        <v>186</v>
      </c>
      <c r="B2159" s="2" t="s">
        <v>187</v>
      </c>
      <c r="C2159" s="2" t="s">
        <v>189</v>
      </c>
      <c r="D2159" s="2" t="s">
        <v>305</v>
      </c>
      <c r="E2159" s="2" t="s">
        <v>811</v>
      </c>
      <c r="F2159" s="35"/>
    </row>
    <row r="2160" spans="1:6" s="1" customFormat="1" ht="24.75" customHeight="1" x14ac:dyDescent="0.2">
      <c r="A2160" s="22" t="s">
        <v>813</v>
      </c>
      <c r="B2160" s="3">
        <f>5.97+0.6</f>
        <v>6.5699999999999994</v>
      </c>
      <c r="C2160" s="3">
        <v>2.35</v>
      </c>
      <c r="D2160" s="3">
        <v>2</v>
      </c>
      <c r="E2160" s="3">
        <f>B2160*C2160*D2160</f>
        <v>30.878999999999998</v>
      </c>
      <c r="F2160" s="85"/>
    </row>
    <row r="2161" spans="1:6" s="1" customFormat="1" ht="15" x14ac:dyDescent="0.2">
      <c r="A2161" s="19"/>
      <c r="B2161" s="50"/>
      <c r="C2161" s="50"/>
      <c r="D2161" s="50"/>
      <c r="E2161" s="50"/>
      <c r="F2161" s="20"/>
    </row>
    <row r="2162" spans="1:6" ht="26.1" customHeight="1" x14ac:dyDescent="0.2">
      <c r="A2162" s="80" t="s">
        <v>625</v>
      </c>
      <c r="B2162" s="348" t="s">
        <v>626</v>
      </c>
      <c r="C2162" s="348"/>
      <c r="D2162" s="348"/>
      <c r="E2162" s="25" t="s">
        <v>13</v>
      </c>
      <c r="F2162" s="93">
        <f>D2169</f>
        <v>110.71299999999999</v>
      </c>
    </row>
    <row r="2163" spans="1:6" s="1" customFormat="1" ht="15" x14ac:dyDescent="0.2">
      <c r="A2163" s="19"/>
      <c r="B2163" s="50"/>
      <c r="C2163" s="50"/>
      <c r="D2163" s="50"/>
      <c r="E2163" s="50"/>
      <c r="F2163" s="20"/>
    </row>
    <row r="2164" spans="1:6" s="1" customFormat="1" ht="15" x14ac:dyDescent="0.2">
      <c r="A2164" s="21" t="s">
        <v>186</v>
      </c>
      <c r="B2164" s="2" t="s">
        <v>187</v>
      </c>
      <c r="C2164" s="2" t="s">
        <v>189</v>
      </c>
      <c r="D2164" s="2" t="s">
        <v>811</v>
      </c>
      <c r="E2164" s="43"/>
      <c r="F2164" s="35"/>
    </row>
    <row r="2165" spans="1:6" s="1" customFormat="1" ht="24.75" customHeight="1" x14ac:dyDescent="0.2">
      <c r="A2165" s="22" t="s">
        <v>813</v>
      </c>
      <c r="B2165" s="3">
        <v>8.58</v>
      </c>
      <c r="C2165" s="3">
        <v>6.65</v>
      </c>
      <c r="D2165" s="3">
        <f>B2165*C2165-(1.2*2.2*4)</f>
        <v>46.497</v>
      </c>
      <c r="E2165" s="50" t="s">
        <v>834</v>
      </c>
      <c r="F2165" s="85"/>
    </row>
    <row r="2166" spans="1:6" s="1" customFormat="1" ht="24.75" customHeight="1" x14ac:dyDescent="0.2">
      <c r="A2166" s="22" t="s">
        <v>831</v>
      </c>
      <c r="B2166" s="3">
        <f>7*3.1+0.1*8</f>
        <v>22.5</v>
      </c>
      <c r="C2166" s="3">
        <v>1.4</v>
      </c>
      <c r="D2166" s="3">
        <f>B2166*C2166</f>
        <v>31.499999999999996</v>
      </c>
      <c r="E2166" s="50"/>
      <c r="F2166" s="85"/>
    </row>
    <row r="2167" spans="1:6" s="1" customFormat="1" ht="24.75" customHeight="1" x14ac:dyDescent="0.2">
      <c r="A2167" s="22" t="s">
        <v>832</v>
      </c>
      <c r="B2167" s="3">
        <f>2.46+1.9</f>
        <v>4.3599999999999994</v>
      </c>
      <c r="C2167" s="3">
        <v>2.1</v>
      </c>
      <c r="D2167" s="3">
        <f t="shared" ref="D2167:D2168" si="56">B2167*C2167</f>
        <v>9.1559999999999988</v>
      </c>
      <c r="E2167" s="50"/>
      <c r="F2167" s="85"/>
    </row>
    <row r="2168" spans="1:6" s="1" customFormat="1" ht="24.75" customHeight="1" x14ac:dyDescent="0.2">
      <c r="A2168" s="22" t="s">
        <v>833</v>
      </c>
      <c r="B2168" s="3">
        <f>0.15+2.53+0.1+2.53+0.1+0.1+2.97+0.1+3.2</f>
        <v>11.779999999999998</v>
      </c>
      <c r="C2168" s="3">
        <v>2</v>
      </c>
      <c r="D2168" s="3">
        <f t="shared" si="56"/>
        <v>23.559999999999995</v>
      </c>
      <c r="E2168" s="50"/>
      <c r="F2168" s="85"/>
    </row>
    <row r="2169" spans="1:6" s="1" customFormat="1" ht="15" x14ac:dyDescent="0.2">
      <c r="A2169" s="378" t="s">
        <v>195</v>
      </c>
      <c r="B2169" s="379"/>
      <c r="C2169" s="379"/>
      <c r="D2169" s="2">
        <f>SUM(D2165:D2168)</f>
        <v>110.71299999999999</v>
      </c>
      <c r="E2169" s="50"/>
      <c r="F2169" s="85"/>
    </row>
    <row r="2170" spans="1:6" s="1" customFormat="1" ht="15" x14ac:dyDescent="0.2">
      <c r="A2170" s="19"/>
      <c r="B2170" s="50"/>
      <c r="C2170" s="50"/>
      <c r="D2170" s="50"/>
      <c r="E2170" s="50"/>
      <c r="F2170" s="20"/>
    </row>
    <row r="2171" spans="1:6" x14ac:dyDescent="0.2">
      <c r="A2171" s="81" t="s">
        <v>627</v>
      </c>
      <c r="B2171" s="349" t="s">
        <v>67</v>
      </c>
      <c r="C2171" s="349"/>
      <c r="D2171" s="349"/>
      <c r="E2171" s="54"/>
      <c r="F2171" s="132">
        <v>1</v>
      </c>
    </row>
    <row r="2172" spans="1:6" ht="24" customHeight="1" x14ac:dyDescent="0.2">
      <c r="A2172" s="80" t="s">
        <v>628</v>
      </c>
      <c r="B2172" s="348" t="s">
        <v>629</v>
      </c>
      <c r="C2172" s="348"/>
      <c r="D2172" s="348"/>
      <c r="E2172" s="25" t="s">
        <v>13</v>
      </c>
      <c r="F2172" s="93">
        <f>D2179</f>
        <v>269.74369999999999</v>
      </c>
    </row>
    <row r="2173" spans="1:6" s="1" customFormat="1" ht="15" x14ac:dyDescent="0.2">
      <c r="A2173" s="19"/>
      <c r="B2173" s="50"/>
      <c r="C2173" s="50"/>
      <c r="D2173" s="50"/>
      <c r="E2173" s="50"/>
      <c r="F2173" s="20"/>
    </row>
    <row r="2174" spans="1:6" s="1" customFormat="1" ht="15" x14ac:dyDescent="0.2">
      <c r="A2174" s="21" t="s">
        <v>186</v>
      </c>
      <c r="B2174" s="2" t="s">
        <v>187</v>
      </c>
      <c r="C2174" s="2" t="s">
        <v>188</v>
      </c>
      <c r="D2174" s="2" t="s">
        <v>194</v>
      </c>
      <c r="E2174" s="47"/>
      <c r="F2174" s="35"/>
    </row>
    <row r="2175" spans="1:6" s="1" customFormat="1" ht="24.75" customHeight="1" x14ac:dyDescent="0.2">
      <c r="A2175" s="353" t="s">
        <v>756</v>
      </c>
      <c r="B2175" s="3">
        <f>5.67+0.6</f>
        <v>6.27</v>
      </c>
      <c r="C2175" s="3">
        <f>11.63+0.15+0.35+0.3</f>
        <v>12.430000000000001</v>
      </c>
      <c r="D2175" s="351">
        <f>(B2175*C2175)+B2176*C2176</f>
        <v>126.83010000000002</v>
      </c>
      <c r="E2175" s="70"/>
      <c r="F2175" s="85"/>
    </row>
    <row r="2176" spans="1:6" s="1" customFormat="1" ht="15" x14ac:dyDescent="0.2">
      <c r="A2176" s="354"/>
      <c r="B2176" s="3">
        <v>5.8</v>
      </c>
      <c r="C2176" s="3">
        <v>8.43</v>
      </c>
      <c r="D2176" s="352"/>
      <c r="E2176" s="45"/>
      <c r="F2176" s="34"/>
    </row>
    <row r="2177" spans="1:6" s="1" customFormat="1" ht="15" x14ac:dyDescent="0.2">
      <c r="A2177" s="353" t="s">
        <v>362</v>
      </c>
      <c r="B2177" s="3">
        <v>3.98</v>
      </c>
      <c r="C2177" s="3">
        <v>13.82</v>
      </c>
      <c r="D2177" s="351">
        <f>B2177*C2177+B2178*C2178</f>
        <v>142.9136</v>
      </c>
      <c r="E2177" s="45"/>
      <c r="F2177" s="34"/>
    </row>
    <row r="2178" spans="1:6" s="1" customFormat="1" ht="15" x14ac:dyDescent="0.2">
      <c r="A2178" s="354"/>
      <c r="B2178" s="3">
        <v>5.9</v>
      </c>
      <c r="C2178" s="3">
        <v>14.9</v>
      </c>
      <c r="D2178" s="352"/>
      <c r="E2178" s="45"/>
      <c r="F2178" s="34"/>
    </row>
    <row r="2179" spans="1:6" s="1" customFormat="1" ht="15" x14ac:dyDescent="0.2">
      <c r="A2179" s="355" t="s">
        <v>227</v>
      </c>
      <c r="B2179" s="350"/>
      <c r="C2179" s="350"/>
      <c r="D2179" s="2">
        <f>SUM(D2175:D2178)</f>
        <v>269.74369999999999</v>
      </c>
      <c r="E2179" s="43"/>
      <c r="F2179" s="86"/>
    </row>
    <row r="2180" spans="1:6" s="1" customFormat="1" ht="15" x14ac:dyDescent="0.2">
      <c r="A2180" s="19"/>
      <c r="B2180" s="50"/>
      <c r="C2180" s="50"/>
      <c r="D2180" s="50"/>
      <c r="E2180" s="50"/>
      <c r="F2180" s="20"/>
    </row>
    <row r="2181" spans="1:6" ht="26.1" customHeight="1" x14ac:dyDescent="0.2">
      <c r="A2181" s="80" t="s">
        <v>630</v>
      </c>
      <c r="B2181" s="348" t="s">
        <v>631</v>
      </c>
      <c r="C2181" s="348"/>
      <c r="D2181" s="348"/>
      <c r="E2181" s="25" t="s">
        <v>13</v>
      </c>
      <c r="F2181" s="93">
        <f>D2188</f>
        <v>269.74369999999999</v>
      </c>
    </row>
    <row r="2182" spans="1:6" s="1" customFormat="1" ht="15" x14ac:dyDescent="0.2">
      <c r="A2182" s="19"/>
      <c r="B2182" s="50"/>
      <c r="C2182" s="50"/>
      <c r="D2182" s="50"/>
      <c r="E2182" s="50"/>
      <c r="F2182" s="20"/>
    </row>
    <row r="2183" spans="1:6" s="1" customFormat="1" ht="15" x14ac:dyDescent="0.2">
      <c r="A2183" s="21" t="s">
        <v>186</v>
      </c>
      <c r="B2183" s="2" t="s">
        <v>187</v>
      </c>
      <c r="C2183" s="2" t="s">
        <v>188</v>
      </c>
      <c r="D2183" s="2" t="s">
        <v>194</v>
      </c>
      <c r="E2183" s="47"/>
      <c r="F2183" s="35"/>
    </row>
    <row r="2184" spans="1:6" s="1" customFormat="1" ht="24.75" customHeight="1" x14ac:dyDescent="0.2">
      <c r="A2184" s="353" t="s">
        <v>756</v>
      </c>
      <c r="B2184" s="3">
        <f>5.67+0.6</f>
        <v>6.27</v>
      </c>
      <c r="C2184" s="3">
        <f>11.63+0.15+0.35+0.3</f>
        <v>12.430000000000001</v>
      </c>
      <c r="D2184" s="351">
        <f>(B2184*C2184)+B2185*C2185</f>
        <v>126.83010000000002</v>
      </c>
      <c r="E2184" s="70"/>
      <c r="F2184" s="85"/>
    </row>
    <row r="2185" spans="1:6" s="1" customFormat="1" ht="15" x14ac:dyDescent="0.2">
      <c r="A2185" s="354"/>
      <c r="B2185" s="3">
        <v>5.8</v>
      </c>
      <c r="C2185" s="3">
        <v>8.43</v>
      </c>
      <c r="D2185" s="352"/>
      <c r="E2185" s="45"/>
      <c r="F2185" s="34"/>
    </row>
    <row r="2186" spans="1:6" s="1" customFormat="1" ht="15" x14ac:dyDescent="0.2">
      <c r="A2186" s="353" t="s">
        <v>362</v>
      </c>
      <c r="B2186" s="3">
        <v>3.98</v>
      </c>
      <c r="C2186" s="3">
        <v>13.82</v>
      </c>
      <c r="D2186" s="351">
        <f>B2186*C2186+B2187*C2187</f>
        <v>142.9136</v>
      </c>
      <c r="E2186" s="45"/>
      <c r="F2186" s="34"/>
    </row>
    <row r="2187" spans="1:6" s="1" customFormat="1" ht="15" x14ac:dyDescent="0.2">
      <c r="A2187" s="354"/>
      <c r="B2187" s="3">
        <v>5.9</v>
      </c>
      <c r="C2187" s="3">
        <v>14.9</v>
      </c>
      <c r="D2187" s="352"/>
      <c r="E2187" s="45"/>
      <c r="F2187" s="34"/>
    </row>
    <row r="2188" spans="1:6" s="1" customFormat="1" ht="15" x14ac:dyDescent="0.2">
      <c r="A2188" s="355" t="s">
        <v>227</v>
      </c>
      <c r="B2188" s="350"/>
      <c r="C2188" s="350"/>
      <c r="D2188" s="2">
        <f>SUM(D2184:D2187)</f>
        <v>269.74369999999999</v>
      </c>
      <c r="E2188" s="43"/>
      <c r="F2188" s="86"/>
    </row>
    <row r="2189" spans="1:6" s="1" customFormat="1" ht="15" x14ac:dyDescent="0.2">
      <c r="A2189" s="19"/>
      <c r="B2189" s="50"/>
      <c r="C2189" s="50"/>
      <c r="D2189" s="50"/>
      <c r="E2189" s="50"/>
      <c r="F2189" s="20"/>
    </row>
    <row r="2190" spans="1:6" ht="26.1" customHeight="1" x14ac:dyDescent="0.2">
      <c r="A2190" s="80" t="s">
        <v>632</v>
      </c>
      <c r="B2190" s="348" t="s">
        <v>633</v>
      </c>
      <c r="C2190" s="348"/>
      <c r="D2190" s="348"/>
      <c r="E2190" s="25" t="s">
        <v>13</v>
      </c>
      <c r="F2190" s="93">
        <f>D2197</f>
        <v>269.74369999999999</v>
      </c>
    </row>
    <row r="2191" spans="1:6" s="1" customFormat="1" ht="15" x14ac:dyDescent="0.2">
      <c r="A2191" s="19"/>
      <c r="B2191" s="50"/>
      <c r="C2191" s="50"/>
      <c r="D2191" s="50"/>
      <c r="E2191" s="50"/>
      <c r="F2191" s="20"/>
    </row>
    <row r="2192" spans="1:6" s="1" customFormat="1" ht="15" x14ac:dyDescent="0.2">
      <c r="A2192" s="21" t="s">
        <v>186</v>
      </c>
      <c r="B2192" s="2" t="s">
        <v>187</v>
      </c>
      <c r="C2192" s="2" t="s">
        <v>188</v>
      </c>
      <c r="D2192" s="2" t="s">
        <v>194</v>
      </c>
      <c r="E2192" s="47"/>
      <c r="F2192" s="35"/>
    </row>
    <row r="2193" spans="1:6" s="1" customFormat="1" ht="24.75" customHeight="1" x14ac:dyDescent="0.2">
      <c r="A2193" s="353" t="s">
        <v>756</v>
      </c>
      <c r="B2193" s="3">
        <f>5.67+0.6</f>
        <v>6.27</v>
      </c>
      <c r="C2193" s="3">
        <f>11.63+0.15+0.35+0.3</f>
        <v>12.430000000000001</v>
      </c>
      <c r="D2193" s="351">
        <f>(B2193*C2193)+B2194*C2194</f>
        <v>126.83010000000002</v>
      </c>
      <c r="E2193" s="70"/>
      <c r="F2193" s="85"/>
    </row>
    <row r="2194" spans="1:6" s="1" customFormat="1" ht="15" x14ac:dyDescent="0.2">
      <c r="A2194" s="354"/>
      <c r="B2194" s="3">
        <v>5.8</v>
      </c>
      <c r="C2194" s="3">
        <v>8.43</v>
      </c>
      <c r="D2194" s="352"/>
      <c r="E2194" s="45"/>
      <c r="F2194" s="34"/>
    </row>
    <row r="2195" spans="1:6" s="1" customFormat="1" ht="15" x14ac:dyDescent="0.2">
      <c r="A2195" s="353" t="s">
        <v>362</v>
      </c>
      <c r="B2195" s="3">
        <v>3.98</v>
      </c>
      <c r="C2195" s="3">
        <v>13.82</v>
      </c>
      <c r="D2195" s="351">
        <f>B2195*C2195+B2196*C2196</f>
        <v>142.9136</v>
      </c>
      <c r="E2195" s="45"/>
      <c r="F2195" s="34"/>
    </row>
    <row r="2196" spans="1:6" s="1" customFormat="1" ht="15" x14ac:dyDescent="0.2">
      <c r="A2196" s="354"/>
      <c r="B2196" s="3">
        <v>5.9</v>
      </c>
      <c r="C2196" s="3">
        <v>14.9</v>
      </c>
      <c r="D2196" s="352"/>
      <c r="E2196" s="45"/>
      <c r="F2196" s="34"/>
    </row>
    <row r="2197" spans="1:6" s="1" customFormat="1" ht="15" x14ac:dyDescent="0.2">
      <c r="A2197" s="355" t="s">
        <v>227</v>
      </c>
      <c r="B2197" s="350"/>
      <c r="C2197" s="350"/>
      <c r="D2197" s="2">
        <f>SUM(D2193:D2196)</f>
        <v>269.74369999999999</v>
      </c>
      <c r="E2197" s="43"/>
      <c r="F2197" s="86"/>
    </row>
    <row r="2198" spans="1:6" s="1" customFormat="1" ht="15" x14ac:dyDescent="0.2">
      <c r="A2198" s="19"/>
      <c r="B2198" s="50"/>
      <c r="C2198" s="50"/>
      <c r="D2198" s="50"/>
      <c r="E2198" s="50"/>
      <c r="F2198" s="20"/>
    </row>
    <row r="2199" spans="1:6" ht="26.1" customHeight="1" x14ac:dyDescent="0.2">
      <c r="A2199" s="80" t="s">
        <v>634</v>
      </c>
      <c r="B2199" s="348" t="s">
        <v>635</v>
      </c>
      <c r="C2199" s="348"/>
      <c r="D2199" s="348"/>
      <c r="E2199" s="25" t="s">
        <v>13</v>
      </c>
      <c r="F2199" s="93">
        <f>D2206</f>
        <v>269.74369999999999</v>
      </c>
    </row>
    <row r="2200" spans="1:6" s="1" customFormat="1" ht="15" x14ac:dyDescent="0.2">
      <c r="A2200" s="19"/>
      <c r="B2200" s="50"/>
      <c r="C2200" s="50"/>
      <c r="D2200" s="50"/>
      <c r="E2200" s="50"/>
      <c r="F2200" s="20"/>
    </row>
    <row r="2201" spans="1:6" s="1" customFormat="1" ht="15" x14ac:dyDescent="0.2">
      <c r="A2201" s="21" t="s">
        <v>186</v>
      </c>
      <c r="B2201" s="2" t="s">
        <v>187</v>
      </c>
      <c r="C2201" s="2" t="s">
        <v>188</v>
      </c>
      <c r="D2201" s="2" t="s">
        <v>194</v>
      </c>
      <c r="E2201" s="47"/>
      <c r="F2201" s="35"/>
    </row>
    <row r="2202" spans="1:6" s="1" customFormat="1" ht="24.75" customHeight="1" x14ac:dyDescent="0.2">
      <c r="A2202" s="353" t="s">
        <v>756</v>
      </c>
      <c r="B2202" s="3">
        <f>5.67+0.6</f>
        <v>6.27</v>
      </c>
      <c r="C2202" s="3">
        <f>11.63+0.15+0.35+0.3</f>
        <v>12.430000000000001</v>
      </c>
      <c r="D2202" s="351">
        <f>(B2202*C2202)+B2203*C2203</f>
        <v>126.83010000000002</v>
      </c>
      <c r="E2202" s="70"/>
      <c r="F2202" s="85"/>
    </row>
    <row r="2203" spans="1:6" s="1" customFormat="1" ht="15" x14ac:dyDescent="0.2">
      <c r="A2203" s="354"/>
      <c r="B2203" s="3">
        <v>5.8</v>
      </c>
      <c r="C2203" s="3">
        <v>8.43</v>
      </c>
      <c r="D2203" s="352"/>
      <c r="E2203" s="45"/>
      <c r="F2203" s="34"/>
    </row>
    <row r="2204" spans="1:6" s="1" customFormat="1" ht="15" x14ac:dyDescent="0.2">
      <c r="A2204" s="353" t="s">
        <v>362</v>
      </c>
      <c r="B2204" s="3">
        <v>3.98</v>
      </c>
      <c r="C2204" s="3">
        <v>13.82</v>
      </c>
      <c r="D2204" s="351">
        <f>B2204*C2204+B2205*C2205</f>
        <v>142.9136</v>
      </c>
      <c r="E2204" s="45"/>
      <c r="F2204" s="34"/>
    </row>
    <row r="2205" spans="1:6" s="1" customFormat="1" ht="15" x14ac:dyDescent="0.2">
      <c r="A2205" s="354"/>
      <c r="B2205" s="3">
        <v>5.9</v>
      </c>
      <c r="C2205" s="3">
        <v>14.9</v>
      </c>
      <c r="D2205" s="352"/>
      <c r="E2205" s="45"/>
      <c r="F2205" s="34"/>
    </row>
    <row r="2206" spans="1:6" s="1" customFormat="1" ht="15" x14ac:dyDescent="0.2">
      <c r="A2206" s="355" t="s">
        <v>227</v>
      </c>
      <c r="B2206" s="350"/>
      <c r="C2206" s="350"/>
      <c r="D2206" s="2">
        <f>SUM(D2202:D2205)</f>
        <v>269.74369999999999</v>
      </c>
      <c r="E2206" s="43"/>
      <c r="F2206" s="86"/>
    </row>
    <row r="2207" spans="1:6" s="1" customFormat="1" ht="15" x14ac:dyDescent="0.2">
      <c r="A2207" s="19"/>
      <c r="B2207" s="50"/>
      <c r="C2207" s="50"/>
      <c r="D2207" s="50"/>
      <c r="E2207" s="50"/>
      <c r="F2207" s="20"/>
    </row>
    <row r="2208" spans="1:6" x14ac:dyDescent="0.2">
      <c r="A2208" s="81" t="s">
        <v>636</v>
      </c>
      <c r="B2208" s="349" t="s">
        <v>71</v>
      </c>
      <c r="C2208" s="349"/>
      <c r="D2208" s="349"/>
      <c r="E2208" s="54"/>
      <c r="F2208" s="132">
        <v>1</v>
      </c>
    </row>
    <row r="2209" spans="1:6" x14ac:dyDescent="0.2">
      <c r="A2209" s="81" t="s">
        <v>637</v>
      </c>
      <c r="B2209" s="349" t="s">
        <v>638</v>
      </c>
      <c r="C2209" s="349"/>
      <c r="D2209" s="349"/>
      <c r="E2209" s="54"/>
      <c r="F2209" s="132">
        <v>1</v>
      </c>
    </row>
    <row r="2210" spans="1:6" ht="26.1" customHeight="1" x14ac:dyDescent="0.2">
      <c r="A2210" s="80" t="s">
        <v>639</v>
      </c>
      <c r="B2210" s="348" t="s">
        <v>159</v>
      </c>
      <c r="C2210" s="348"/>
      <c r="D2210" s="348"/>
      <c r="E2210" s="25" t="s">
        <v>13</v>
      </c>
      <c r="F2210" s="93">
        <f>F2216</f>
        <v>264.1232</v>
      </c>
    </row>
    <row r="2211" spans="1:6" s="1" customFormat="1" ht="15" x14ac:dyDescent="0.2">
      <c r="A2211" s="19"/>
      <c r="B2211" s="50"/>
      <c r="C2211" s="50"/>
      <c r="D2211" s="50"/>
      <c r="E2211" s="50"/>
      <c r="F2211" s="20"/>
    </row>
    <row r="2212" spans="1:6" s="1" customFormat="1" ht="15" x14ac:dyDescent="0.2">
      <c r="A2212" s="21" t="s">
        <v>439</v>
      </c>
      <c r="B2212" s="2" t="s">
        <v>440</v>
      </c>
      <c r="C2212" s="2" t="s">
        <v>441</v>
      </c>
      <c r="D2212" s="2" t="s">
        <v>442</v>
      </c>
      <c r="E2212" s="2" t="s">
        <v>443</v>
      </c>
      <c r="F2212" s="28" t="s">
        <v>836</v>
      </c>
    </row>
    <row r="2213" spans="1:6" s="1" customFormat="1" ht="15" x14ac:dyDescent="0.2">
      <c r="A2213" s="22" t="s">
        <v>445</v>
      </c>
      <c r="B2213" s="3">
        <v>0.2</v>
      </c>
      <c r="C2213" s="3">
        <v>0.2</v>
      </c>
      <c r="D2213" s="3">
        <v>0</v>
      </c>
      <c r="E2213" s="3">
        <v>116.88</v>
      </c>
      <c r="F2213" s="90">
        <f>((B2213+C2213)*E2213)*2</f>
        <v>93.504000000000005</v>
      </c>
    </row>
    <row r="2214" spans="1:6" s="1" customFormat="1" ht="15" customHeight="1" x14ac:dyDescent="0.2">
      <c r="A2214" s="22" t="s">
        <v>446</v>
      </c>
      <c r="B2214" s="3">
        <v>0.15</v>
      </c>
      <c r="C2214" s="3">
        <v>0.05</v>
      </c>
      <c r="D2214" s="3">
        <f>B2214*C2214*2</f>
        <v>1.4999999999999999E-2</v>
      </c>
      <c r="E2214" s="3">
        <v>222.5</v>
      </c>
      <c r="F2214" s="90">
        <f>((B2214+C2214)*E2214)*2</f>
        <v>89</v>
      </c>
    </row>
    <row r="2215" spans="1:6" s="1" customFormat="1" ht="15" x14ac:dyDescent="0.2">
      <c r="A2215" s="22" t="s">
        <v>835</v>
      </c>
      <c r="B2215" s="3">
        <v>0.32</v>
      </c>
      <c r="C2215" s="27">
        <v>0.2</v>
      </c>
      <c r="D2215" s="27">
        <v>0</v>
      </c>
      <c r="E2215" s="3">
        <v>56.68</v>
      </c>
      <c r="F2215" s="90">
        <f>(C2215*2*E2215)*2+B2215*E2215*2</f>
        <v>81.619200000000006</v>
      </c>
    </row>
    <row r="2216" spans="1:6" s="1" customFormat="1" ht="15" x14ac:dyDescent="0.2">
      <c r="A2216" s="372" t="s">
        <v>227</v>
      </c>
      <c r="B2216" s="373"/>
      <c r="C2216" s="373"/>
      <c r="D2216" s="373"/>
      <c r="E2216" s="373"/>
      <c r="F2216" s="84">
        <f>SUM(F2213:F2215)</f>
        <v>264.1232</v>
      </c>
    </row>
    <row r="2217" spans="1:6" s="1" customFormat="1" ht="15" x14ac:dyDescent="0.2">
      <c r="A2217" s="19"/>
      <c r="B2217" s="50"/>
      <c r="C2217" s="50"/>
      <c r="D2217" s="50"/>
      <c r="E2217" s="50"/>
      <c r="F2217" s="20"/>
    </row>
    <row r="2218" spans="1:6" ht="51.95" customHeight="1" x14ac:dyDescent="0.2">
      <c r="A2218" s="80" t="s">
        <v>640</v>
      </c>
      <c r="B2218" s="348" t="s">
        <v>158</v>
      </c>
      <c r="C2218" s="348"/>
      <c r="D2218" s="348"/>
      <c r="E2218" s="25" t="s">
        <v>13</v>
      </c>
      <c r="F2218" s="93">
        <f>F2225</f>
        <v>570.49080000000004</v>
      </c>
    </row>
    <row r="2219" spans="1:6" s="1" customFormat="1" ht="15" x14ac:dyDescent="0.2">
      <c r="A2219" s="19"/>
      <c r="B2219" s="50"/>
      <c r="C2219" s="50"/>
      <c r="D2219" s="50"/>
      <c r="E2219" s="50"/>
      <c r="F2219" s="20"/>
    </row>
    <row r="2220" spans="1:6" s="1" customFormat="1" ht="15" x14ac:dyDescent="0.2">
      <c r="A2220" s="21" t="s">
        <v>439</v>
      </c>
      <c r="B2220" s="2" t="s">
        <v>440</v>
      </c>
      <c r="C2220" s="2" t="s">
        <v>441</v>
      </c>
      <c r="D2220" s="2" t="s">
        <v>442</v>
      </c>
      <c r="E2220" s="2" t="s">
        <v>443</v>
      </c>
      <c r="F2220" s="28" t="s">
        <v>836</v>
      </c>
    </row>
    <row r="2221" spans="1:6" s="1" customFormat="1" ht="15" x14ac:dyDescent="0.2">
      <c r="A2221" s="22" t="s">
        <v>445</v>
      </c>
      <c r="B2221" s="3">
        <v>0.2</v>
      </c>
      <c r="C2221" s="3">
        <v>0.2</v>
      </c>
      <c r="D2221" s="3">
        <v>0</v>
      </c>
      <c r="E2221" s="3">
        <v>116.88</v>
      </c>
      <c r="F2221" s="90">
        <f>((B2221+C2221)*E2221)*2</f>
        <v>93.504000000000005</v>
      </c>
    </row>
    <row r="2222" spans="1:6" s="1" customFormat="1" ht="15" customHeight="1" x14ac:dyDescent="0.2">
      <c r="A2222" s="22" t="s">
        <v>446</v>
      </c>
      <c r="B2222" s="3">
        <v>0.15</v>
      </c>
      <c r="C2222" s="3">
        <v>0.05</v>
      </c>
      <c r="D2222" s="3">
        <f>B2222*C2222*2</f>
        <v>1.4999999999999999E-2</v>
      </c>
      <c r="E2222" s="3">
        <v>222.5</v>
      </c>
      <c r="F2222" s="90">
        <f>((B2222+C2222)*E2222)*2</f>
        <v>89</v>
      </c>
    </row>
    <row r="2223" spans="1:6" s="1" customFormat="1" ht="15" x14ac:dyDescent="0.2">
      <c r="A2223" s="22" t="s">
        <v>835</v>
      </c>
      <c r="B2223" s="3">
        <v>0.32</v>
      </c>
      <c r="C2223" s="27">
        <v>0.2</v>
      </c>
      <c r="D2223" s="27">
        <v>0</v>
      </c>
      <c r="E2223" s="3">
        <v>56.68</v>
      </c>
      <c r="F2223" s="90">
        <f>(C2223*2*E2223)*2+B2223*E2223*2</f>
        <v>81.619200000000006</v>
      </c>
    </row>
    <row r="2224" spans="1:6" s="1" customFormat="1" ht="15" x14ac:dyDescent="0.2">
      <c r="A2224" s="22" t="s">
        <v>837</v>
      </c>
      <c r="B2224" s="376">
        <f>2.03</f>
        <v>2.0299999999999998</v>
      </c>
      <c r="C2224" s="357"/>
      <c r="D2224" s="377"/>
      <c r="E2224" s="3">
        <f>B2123</f>
        <v>75.460000000000008</v>
      </c>
      <c r="F2224" s="90">
        <f>B2224*E2224*2</f>
        <v>306.36759999999998</v>
      </c>
    </row>
    <row r="2225" spans="1:6" s="1" customFormat="1" ht="15" x14ac:dyDescent="0.2">
      <c r="A2225" s="372" t="s">
        <v>227</v>
      </c>
      <c r="B2225" s="373"/>
      <c r="C2225" s="373"/>
      <c r="D2225" s="373"/>
      <c r="E2225" s="373"/>
      <c r="F2225" s="84">
        <f>SUM(F2221:F2224)</f>
        <v>570.49080000000004</v>
      </c>
    </row>
    <row r="2226" spans="1:6" s="1" customFormat="1" ht="15" x14ac:dyDescent="0.2">
      <c r="A2226" s="19"/>
      <c r="B2226" s="50"/>
      <c r="C2226" s="50"/>
      <c r="D2226" s="50"/>
      <c r="E2226" s="50"/>
      <c r="F2226" s="20"/>
    </row>
    <row r="2227" spans="1:6" x14ac:dyDescent="0.2">
      <c r="A2227" s="81" t="s">
        <v>641</v>
      </c>
      <c r="B2227" s="349" t="s">
        <v>642</v>
      </c>
      <c r="C2227" s="349"/>
      <c r="D2227" s="349"/>
      <c r="E2227" s="54"/>
      <c r="F2227" s="132">
        <v>1</v>
      </c>
    </row>
    <row r="2228" spans="1:6" ht="26.1" customHeight="1" x14ac:dyDescent="0.2">
      <c r="A2228" s="80" t="s">
        <v>643</v>
      </c>
      <c r="B2228" s="348" t="s">
        <v>73</v>
      </c>
      <c r="C2228" s="348"/>
      <c r="D2228" s="348"/>
      <c r="E2228" s="25" t="s">
        <v>13</v>
      </c>
      <c r="F2228" s="93">
        <f>E2237</f>
        <v>104.02860000000001</v>
      </c>
    </row>
    <row r="2229" spans="1:6" s="1" customFormat="1" ht="15" x14ac:dyDescent="0.2">
      <c r="A2229" s="19"/>
      <c r="B2229" s="50"/>
      <c r="C2229" s="50"/>
      <c r="D2229" s="50"/>
      <c r="E2229" s="50"/>
      <c r="F2229" s="20"/>
    </row>
    <row r="2230" spans="1:6" s="1" customFormat="1" ht="15" x14ac:dyDescent="0.2">
      <c r="A2230" s="21" t="s">
        <v>186</v>
      </c>
      <c r="B2230" s="2" t="s">
        <v>192</v>
      </c>
      <c r="C2230" s="2" t="s">
        <v>189</v>
      </c>
      <c r="D2230" s="2" t="s">
        <v>295</v>
      </c>
      <c r="E2230" s="2" t="s">
        <v>194</v>
      </c>
      <c r="F2230" s="35"/>
    </row>
    <row r="2231" spans="1:6" s="1" customFormat="1" ht="15" x14ac:dyDescent="0.2">
      <c r="A2231" s="22" t="s">
        <v>787</v>
      </c>
      <c r="B2231" s="3">
        <f>0.2*4</f>
        <v>0.8</v>
      </c>
      <c r="C2231" s="3">
        <v>2.2000000000000002</v>
      </c>
      <c r="D2231" s="23">
        <v>14</v>
      </c>
      <c r="E2231" s="23">
        <f>B2231*C2231*D2231</f>
        <v>24.640000000000004</v>
      </c>
      <c r="F2231" s="34"/>
    </row>
    <row r="2232" spans="1:6" s="1" customFormat="1" ht="15" x14ac:dyDescent="0.2">
      <c r="A2232" s="21" t="s">
        <v>186</v>
      </c>
      <c r="B2232" s="2" t="s">
        <v>192</v>
      </c>
      <c r="C2232" s="2" t="s">
        <v>187</v>
      </c>
      <c r="D2232" s="2" t="s">
        <v>295</v>
      </c>
      <c r="E2232" s="2" t="s">
        <v>194</v>
      </c>
      <c r="F2232" s="34"/>
    </row>
    <row r="2233" spans="1:6" s="1" customFormat="1" ht="15" x14ac:dyDescent="0.2">
      <c r="A2233" s="22" t="s">
        <v>394</v>
      </c>
      <c r="B2233" s="3">
        <f>(0.17+0.3)*2</f>
        <v>0.94</v>
      </c>
      <c r="C2233" s="3">
        <v>3.17</v>
      </c>
      <c r="D2233" s="23">
        <v>7</v>
      </c>
      <c r="E2233" s="23">
        <f>B2233*C2233*D2233</f>
        <v>20.858599999999996</v>
      </c>
      <c r="F2233" s="34"/>
    </row>
    <row r="2234" spans="1:6" s="1" customFormat="1" ht="15" x14ac:dyDescent="0.2">
      <c r="A2234" s="22" t="s">
        <v>394</v>
      </c>
      <c r="B2234" s="3">
        <f>(0.17+0.3)*2</f>
        <v>0.94</v>
      </c>
      <c r="C2234" s="3">
        <v>2.35</v>
      </c>
      <c r="D2234" s="23">
        <v>6</v>
      </c>
      <c r="E2234" s="23">
        <f>B2234*C2234*D2234</f>
        <v>13.254000000000001</v>
      </c>
      <c r="F2234" s="34"/>
    </row>
    <row r="2235" spans="1:6" s="1" customFormat="1" ht="15" x14ac:dyDescent="0.2">
      <c r="A2235" s="21" t="s">
        <v>186</v>
      </c>
      <c r="B2235" s="2" t="s">
        <v>187</v>
      </c>
      <c r="C2235" s="2" t="s">
        <v>189</v>
      </c>
      <c r="D2235" s="2" t="s">
        <v>295</v>
      </c>
      <c r="E2235" s="2" t="s">
        <v>839</v>
      </c>
      <c r="F2235" s="34"/>
    </row>
    <row r="2236" spans="1:6" s="1" customFormat="1" ht="15" x14ac:dyDescent="0.2">
      <c r="A2236" s="22" t="s">
        <v>838</v>
      </c>
      <c r="B2236" s="3">
        <f>E2224</f>
        <v>75.460000000000008</v>
      </c>
      <c r="C2236" s="3">
        <v>0.3</v>
      </c>
      <c r="D2236" s="23">
        <v>1</v>
      </c>
      <c r="E2236" s="23">
        <f>B2236*C2236*D2236*2</f>
        <v>45.276000000000003</v>
      </c>
      <c r="F2236" s="34"/>
    </row>
    <row r="2237" spans="1:6" s="1" customFormat="1" ht="15" x14ac:dyDescent="0.2">
      <c r="A2237" s="372" t="s">
        <v>227</v>
      </c>
      <c r="B2237" s="373"/>
      <c r="C2237" s="373"/>
      <c r="D2237" s="373"/>
      <c r="E2237" s="2">
        <f>E2231+E2233+E2234+E2236</f>
        <v>104.02860000000001</v>
      </c>
      <c r="F2237" s="34"/>
    </row>
    <row r="2238" spans="1:6" s="1" customFormat="1" ht="15" x14ac:dyDescent="0.2">
      <c r="A2238" s="19"/>
      <c r="B2238" s="50"/>
      <c r="C2238" s="50"/>
      <c r="D2238" s="50"/>
      <c r="E2238" s="50"/>
      <c r="F2238" s="20"/>
    </row>
    <row r="2239" spans="1:6" ht="26.1" customHeight="1" x14ac:dyDescent="0.2">
      <c r="A2239" s="80" t="s">
        <v>644</v>
      </c>
      <c r="B2239" s="348" t="s">
        <v>156</v>
      </c>
      <c r="C2239" s="348"/>
      <c r="D2239" s="348"/>
      <c r="E2239" s="25" t="s">
        <v>13</v>
      </c>
      <c r="F2239" s="93">
        <f>E2248</f>
        <v>104.02860000000001</v>
      </c>
    </row>
    <row r="2240" spans="1:6" s="1" customFormat="1" ht="15" x14ac:dyDescent="0.2">
      <c r="A2240" s="19"/>
      <c r="B2240" s="50"/>
      <c r="C2240" s="50"/>
      <c r="D2240" s="50"/>
      <c r="E2240" s="50"/>
      <c r="F2240" s="20"/>
    </row>
    <row r="2241" spans="1:6" s="1" customFormat="1" ht="15" x14ac:dyDescent="0.2">
      <c r="A2241" s="21" t="s">
        <v>186</v>
      </c>
      <c r="B2241" s="2" t="s">
        <v>192</v>
      </c>
      <c r="C2241" s="2" t="s">
        <v>189</v>
      </c>
      <c r="D2241" s="2" t="s">
        <v>295</v>
      </c>
      <c r="E2241" s="2" t="s">
        <v>194</v>
      </c>
      <c r="F2241" s="35"/>
    </row>
    <row r="2242" spans="1:6" s="1" customFormat="1" ht="15" x14ac:dyDescent="0.2">
      <c r="A2242" s="22" t="s">
        <v>787</v>
      </c>
      <c r="B2242" s="3">
        <f>0.2*4</f>
        <v>0.8</v>
      </c>
      <c r="C2242" s="3">
        <v>2.2000000000000002</v>
      </c>
      <c r="D2242" s="23">
        <v>14</v>
      </c>
      <c r="E2242" s="23">
        <f>B2242*C2242*D2242</f>
        <v>24.640000000000004</v>
      </c>
      <c r="F2242" s="34"/>
    </row>
    <row r="2243" spans="1:6" s="1" customFormat="1" ht="15" x14ac:dyDescent="0.2">
      <c r="A2243" s="21" t="s">
        <v>186</v>
      </c>
      <c r="B2243" s="2" t="s">
        <v>192</v>
      </c>
      <c r="C2243" s="2" t="s">
        <v>187</v>
      </c>
      <c r="D2243" s="2" t="s">
        <v>295</v>
      </c>
      <c r="E2243" s="2" t="s">
        <v>194</v>
      </c>
      <c r="F2243" s="34"/>
    </row>
    <row r="2244" spans="1:6" s="1" customFormat="1" ht="15" x14ac:dyDescent="0.2">
      <c r="A2244" s="22" t="s">
        <v>394</v>
      </c>
      <c r="B2244" s="3">
        <f>(0.17+0.3)*2</f>
        <v>0.94</v>
      </c>
      <c r="C2244" s="3">
        <v>3.17</v>
      </c>
      <c r="D2244" s="23">
        <v>7</v>
      </c>
      <c r="E2244" s="23">
        <f>B2244*C2244*D2244</f>
        <v>20.858599999999996</v>
      </c>
      <c r="F2244" s="34"/>
    </row>
    <row r="2245" spans="1:6" s="1" customFormat="1" ht="15" x14ac:dyDescent="0.2">
      <c r="A2245" s="22" t="s">
        <v>394</v>
      </c>
      <c r="B2245" s="3">
        <f>(0.17+0.3)*2</f>
        <v>0.94</v>
      </c>
      <c r="C2245" s="3">
        <v>2.35</v>
      </c>
      <c r="D2245" s="23">
        <v>6</v>
      </c>
      <c r="E2245" s="23">
        <f>B2245*C2245*D2245</f>
        <v>13.254000000000001</v>
      </c>
      <c r="F2245" s="34"/>
    </row>
    <row r="2246" spans="1:6" s="1" customFormat="1" ht="15" x14ac:dyDescent="0.2">
      <c r="A2246" s="21" t="s">
        <v>186</v>
      </c>
      <c r="B2246" s="2" t="s">
        <v>187</v>
      </c>
      <c r="C2246" s="2" t="s">
        <v>189</v>
      </c>
      <c r="D2246" s="2" t="s">
        <v>295</v>
      </c>
      <c r="E2246" s="2" t="s">
        <v>839</v>
      </c>
      <c r="F2246" s="34"/>
    </row>
    <row r="2247" spans="1:6" s="1" customFormat="1" ht="15" x14ac:dyDescent="0.2">
      <c r="A2247" s="22" t="s">
        <v>838</v>
      </c>
      <c r="B2247" s="3">
        <v>75.460000000000008</v>
      </c>
      <c r="C2247" s="3">
        <v>0.3</v>
      </c>
      <c r="D2247" s="23">
        <v>1</v>
      </c>
      <c r="E2247" s="23">
        <f>B2247*C2247*D2247*2</f>
        <v>45.276000000000003</v>
      </c>
      <c r="F2247" s="34"/>
    </row>
    <row r="2248" spans="1:6" s="1" customFormat="1" ht="15" x14ac:dyDescent="0.2">
      <c r="A2248" s="372" t="s">
        <v>227</v>
      </c>
      <c r="B2248" s="373"/>
      <c r="C2248" s="373"/>
      <c r="D2248" s="373"/>
      <c r="E2248" s="2">
        <f>E2242+E2244+E2245+E2247</f>
        <v>104.02860000000001</v>
      </c>
      <c r="F2248" s="34"/>
    </row>
    <row r="2249" spans="1:6" s="1" customFormat="1" ht="15" x14ac:dyDescent="0.2">
      <c r="A2249" s="19"/>
      <c r="B2249" s="50"/>
      <c r="C2249" s="50"/>
      <c r="D2249" s="50"/>
      <c r="E2249" s="50"/>
      <c r="F2249" s="20"/>
    </row>
    <row r="2250" spans="1:6" x14ac:dyDescent="0.2">
      <c r="A2250" s="81" t="s">
        <v>645</v>
      </c>
      <c r="B2250" s="349" t="s">
        <v>646</v>
      </c>
      <c r="C2250" s="349"/>
      <c r="D2250" s="349"/>
      <c r="E2250" s="54"/>
      <c r="F2250" s="132">
        <v>1</v>
      </c>
    </row>
    <row r="2251" spans="1:6" ht="24" customHeight="1" x14ac:dyDescent="0.2">
      <c r="A2251" s="80" t="s">
        <v>647</v>
      </c>
      <c r="B2251" s="348" t="s">
        <v>648</v>
      </c>
      <c r="C2251" s="348"/>
      <c r="D2251" s="348"/>
      <c r="E2251" s="25" t="s">
        <v>13</v>
      </c>
      <c r="F2251" s="93">
        <f>E2255</f>
        <v>14.25</v>
      </c>
    </row>
    <row r="2252" spans="1:6" s="1" customFormat="1" ht="15" x14ac:dyDescent="0.2">
      <c r="A2252" s="19"/>
      <c r="B2252" s="50"/>
      <c r="C2252" s="50"/>
      <c r="D2252" s="50"/>
      <c r="E2252" s="50"/>
      <c r="F2252" s="20"/>
    </row>
    <row r="2253" spans="1:6" s="1" customFormat="1" ht="15" x14ac:dyDescent="0.2">
      <c r="A2253" s="21" t="s">
        <v>186</v>
      </c>
      <c r="B2253" s="2" t="s">
        <v>187</v>
      </c>
      <c r="C2253" s="2" t="s">
        <v>434</v>
      </c>
      <c r="D2253" s="2" t="s">
        <v>295</v>
      </c>
      <c r="E2253" s="2" t="s">
        <v>194</v>
      </c>
      <c r="F2253" s="35"/>
    </row>
    <row r="2254" spans="1:6" s="1" customFormat="1" ht="15" x14ac:dyDescent="0.2">
      <c r="A2254" s="22" t="s">
        <v>840</v>
      </c>
      <c r="B2254" s="3">
        <v>5</v>
      </c>
      <c r="C2254" s="3">
        <v>0.05</v>
      </c>
      <c r="D2254" s="23">
        <v>57</v>
      </c>
      <c r="E2254" s="23">
        <f>B2254*C2254*D2254</f>
        <v>14.25</v>
      </c>
      <c r="F2254" s="34"/>
    </row>
    <row r="2255" spans="1:6" s="1" customFormat="1" ht="15" x14ac:dyDescent="0.2">
      <c r="A2255" s="372" t="s">
        <v>227</v>
      </c>
      <c r="B2255" s="373"/>
      <c r="C2255" s="373"/>
      <c r="D2255" s="373"/>
      <c r="E2255" s="2">
        <f>E2254</f>
        <v>14.25</v>
      </c>
      <c r="F2255" s="34"/>
    </row>
    <row r="2256" spans="1:6" s="1" customFormat="1" ht="15" x14ac:dyDescent="0.2">
      <c r="A2256" s="19"/>
      <c r="B2256" s="50"/>
      <c r="C2256" s="50"/>
      <c r="D2256" s="50"/>
      <c r="E2256" s="50"/>
      <c r="F2256" s="20"/>
    </row>
    <row r="2257" spans="1:6" ht="39" customHeight="1" x14ac:dyDescent="0.2">
      <c r="A2257" s="80" t="s">
        <v>649</v>
      </c>
      <c r="B2257" s="348" t="s">
        <v>650</v>
      </c>
      <c r="C2257" s="348"/>
      <c r="D2257" s="348"/>
      <c r="E2257" s="25" t="s">
        <v>651</v>
      </c>
      <c r="F2257" s="93">
        <v>3</v>
      </c>
    </row>
    <row r="2258" spans="1:6" s="1" customFormat="1" ht="15" x14ac:dyDescent="0.2">
      <c r="A2258" s="356" t="s">
        <v>841</v>
      </c>
      <c r="B2258" s="357"/>
      <c r="C2258" s="357"/>
      <c r="D2258" s="357"/>
      <c r="E2258" s="357"/>
      <c r="F2258" s="358"/>
    </row>
    <row r="2259" spans="1:6" x14ac:dyDescent="0.2">
      <c r="A2259" s="81" t="s">
        <v>652</v>
      </c>
      <c r="B2259" s="349" t="s">
        <v>79</v>
      </c>
      <c r="C2259" s="349"/>
      <c r="D2259" s="349"/>
      <c r="E2259" s="54"/>
      <c r="F2259" s="132">
        <v>1</v>
      </c>
    </row>
    <row r="2260" spans="1:6" ht="26.1" customHeight="1" x14ac:dyDescent="0.2">
      <c r="A2260" s="80" t="s">
        <v>653</v>
      </c>
      <c r="B2260" s="348" t="s">
        <v>94</v>
      </c>
      <c r="C2260" s="348"/>
      <c r="D2260" s="348"/>
      <c r="E2260" s="25" t="s">
        <v>13</v>
      </c>
      <c r="F2260" s="93">
        <f>E2265</f>
        <v>25.919999999999998</v>
      </c>
    </row>
    <row r="2261" spans="1:6" s="1" customFormat="1" ht="15" x14ac:dyDescent="0.2">
      <c r="A2261" s="19"/>
      <c r="B2261" s="50"/>
      <c r="C2261" s="50"/>
      <c r="D2261" s="50"/>
      <c r="E2261" s="50"/>
      <c r="F2261" s="20"/>
    </row>
    <row r="2262" spans="1:6" s="1" customFormat="1" ht="15" x14ac:dyDescent="0.2">
      <c r="A2262" s="21" t="s">
        <v>186</v>
      </c>
      <c r="B2262" s="2" t="s">
        <v>187</v>
      </c>
      <c r="C2262" s="2" t="s">
        <v>189</v>
      </c>
      <c r="D2262" s="2" t="s">
        <v>295</v>
      </c>
      <c r="E2262" s="2" t="s">
        <v>194</v>
      </c>
      <c r="F2262" s="35"/>
    </row>
    <row r="2263" spans="1:6" s="1" customFormat="1" ht="15" x14ac:dyDescent="0.2">
      <c r="A2263" s="22" t="s">
        <v>842</v>
      </c>
      <c r="B2263" s="3">
        <f>2.85*2+0.1*3</f>
        <v>6</v>
      </c>
      <c r="C2263" s="3">
        <v>2.4</v>
      </c>
      <c r="D2263" s="23">
        <v>1</v>
      </c>
      <c r="E2263" s="23">
        <f>B2263*C2263*D2263</f>
        <v>14.399999999999999</v>
      </c>
      <c r="F2263" s="34"/>
    </row>
    <row r="2264" spans="1:6" s="1" customFormat="1" ht="25.5" x14ac:dyDescent="0.2">
      <c r="A2264" s="22" t="s">
        <v>843</v>
      </c>
      <c r="B2264" s="3">
        <f>2.25*2+0.1*3</f>
        <v>4.8</v>
      </c>
      <c r="C2264" s="3">
        <v>2.4</v>
      </c>
      <c r="D2264" s="23">
        <v>1</v>
      </c>
      <c r="E2264" s="23">
        <f>B2264*C2264*D2264</f>
        <v>11.52</v>
      </c>
      <c r="F2264" s="34"/>
    </row>
    <row r="2265" spans="1:6" s="1" customFormat="1" ht="15" x14ac:dyDescent="0.2">
      <c r="A2265" s="372" t="s">
        <v>227</v>
      </c>
      <c r="B2265" s="373"/>
      <c r="C2265" s="373"/>
      <c r="D2265" s="373"/>
      <c r="E2265" s="2">
        <f>E2263+E2264</f>
        <v>25.919999999999998</v>
      </c>
      <c r="F2265" s="34"/>
    </row>
    <row r="2266" spans="1:6" s="1" customFormat="1" ht="15" x14ac:dyDescent="0.2">
      <c r="A2266" s="19"/>
      <c r="B2266" s="50"/>
      <c r="C2266" s="50"/>
      <c r="D2266" s="50"/>
      <c r="E2266" s="50"/>
      <c r="F2266" s="20"/>
    </row>
    <row r="2267" spans="1:6" ht="26.1" customHeight="1" x14ac:dyDescent="0.2">
      <c r="A2267" s="80" t="s">
        <v>654</v>
      </c>
      <c r="B2267" s="348" t="s">
        <v>655</v>
      </c>
      <c r="C2267" s="348"/>
      <c r="D2267" s="348"/>
      <c r="E2267" s="25" t="s">
        <v>13</v>
      </c>
      <c r="F2267" s="93">
        <f>E2272</f>
        <v>24.46</v>
      </c>
    </row>
    <row r="2268" spans="1:6" s="1" customFormat="1" ht="15" x14ac:dyDescent="0.2">
      <c r="A2268" s="19"/>
      <c r="B2268" s="50"/>
      <c r="C2268" s="50"/>
      <c r="D2268" s="50"/>
      <c r="E2268" s="50"/>
      <c r="F2268" s="20"/>
    </row>
    <row r="2269" spans="1:6" s="1" customFormat="1" ht="15" x14ac:dyDescent="0.2">
      <c r="A2269" s="21" t="s">
        <v>186</v>
      </c>
      <c r="B2269" s="2" t="s">
        <v>187</v>
      </c>
      <c r="C2269" s="2" t="s">
        <v>189</v>
      </c>
      <c r="D2269" s="2" t="s">
        <v>295</v>
      </c>
      <c r="E2269" s="2" t="s">
        <v>194</v>
      </c>
      <c r="F2269" s="35"/>
    </row>
    <row r="2270" spans="1:6" s="1" customFormat="1" ht="25.5" x14ac:dyDescent="0.2">
      <c r="A2270" s="22" t="s">
        <v>844</v>
      </c>
      <c r="B2270" s="3">
        <f>3.55*2+0.1*3</f>
        <v>7.3999999999999995</v>
      </c>
      <c r="C2270" s="3">
        <v>2</v>
      </c>
      <c r="D2270" s="23">
        <v>1</v>
      </c>
      <c r="E2270" s="23">
        <f>B2270*C2270*D2270</f>
        <v>14.799999999999999</v>
      </c>
      <c r="F2270" s="34"/>
    </row>
    <row r="2271" spans="1:6" s="1" customFormat="1" ht="15" x14ac:dyDescent="0.2">
      <c r="A2271" s="22" t="s">
        <v>845</v>
      </c>
      <c r="B2271" s="3">
        <f>2.2*2+0.2</f>
        <v>4.6000000000000005</v>
      </c>
      <c r="C2271" s="3">
        <v>2.1</v>
      </c>
      <c r="D2271" s="23">
        <v>1</v>
      </c>
      <c r="E2271" s="23">
        <f>B2271*C2271*D2271</f>
        <v>9.6600000000000019</v>
      </c>
      <c r="F2271" s="34"/>
    </row>
    <row r="2272" spans="1:6" s="1" customFormat="1" ht="15" x14ac:dyDescent="0.2">
      <c r="A2272" s="372" t="s">
        <v>227</v>
      </c>
      <c r="B2272" s="373"/>
      <c r="C2272" s="373"/>
      <c r="D2272" s="373"/>
      <c r="E2272" s="2">
        <f>E2270+E2271</f>
        <v>24.46</v>
      </c>
      <c r="F2272" s="34"/>
    </row>
    <row r="2273" spans="1:6" s="1" customFormat="1" ht="15" x14ac:dyDescent="0.2">
      <c r="A2273" s="19"/>
      <c r="B2273" s="50"/>
      <c r="C2273" s="50"/>
      <c r="D2273" s="50"/>
      <c r="E2273" s="50"/>
      <c r="F2273" s="20"/>
    </row>
    <row r="2274" spans="1:6" ht="26.1" customHeight="1" x14ac:dyDescent="0.2">
      <c r="A2274" s="80" t="s">
        <v>656</v>
      </c>
      <c r="B2274" s="348" t="s">
        <v>657</v>
      </c>
      <c r="C2274" s="348"/>
      <c r="D2274" s="348"/>
      <c r="E2274" s="25" t="s">
        <v>13</v>
      </c>
      <c r="F2274" s="93">
        <f>E2278</f>
        <v>10.56</v>
      </c>
    </row>
    <row r="2275" spans="1:6" s="1" customFormat="1" ht="15" x14ac:dyDescent="0.2">
      <c r="A2275" s="19"/>
      <c r="B2275" s="50"/>
      <c r="C2275" s="50"/>
      <c r="D2275" s="50"/>
      <c r="E2275" s="50"/>
      <c r="F2275" s="20"/>
    </row>
    <row r="2276" spans="1:6" s="1" customFormat="1" ht="15" x14ac:dyDescent="0.2">
      <c r="A2276" s="21" t="s">
        <v>186</v>
      </c>
      <c r="B2276" s="2" t="s">
        <v>187</v>
      </c>
      <c r="C2276" s="2" t="s">
        <v>189</v>
      </c>
      <c r="D2276" s="2" t="s">
        <v>295</v>
      </c>
      <c r="E2276" s="2" t="s">
        <v>194</v>
      </c>
      <c r="F2276" s="35"/>
    </row>
    <row r="2277" spans="1:6" s="1" customFormat="1" ht="15" x14ac:dyDescent="0.2">
      <c r="A2277" s="22" t="s">
        <v>756</v>
      </c>
      <c r="B2277" s="3">
        <v>2.4</v>
      </c>
      <c r="C2277" s="3">
        <v>2.2000000000000002</v>
      </c>
      <c r="D2277" s="23">
        <v>2</v>
      </c>
      <c r="E2277" s="23">
        <f>B2277*C2277*D2277</f>
        <v>10.56</v>
      </c>
      <c r="F2277" s="34"/>
    </row>
    <row r="2278" spans="1:6" s="1" customFormat="1" ht="15" x14ac:dyDescent="0.2">
      <c r="A2278" s="372" t="s">
        <v>227</v>
      </c>
      <c r="B2278" s="373"/>
      <c r="C2278" s="373"/>
      <c r="D2278" s="373"/>
      <c r="E2278" s="2">
        <f>E2277</f>
        <v>10.56</v>
      </c>
      <c r="F2278" s="34"/>
    </row>
    <row r="2279" spans="1:6" s="1" customFormat="1" ht="15" x14ac:dyDescent="0.2">
      <c r="A2279" s="19"/>
      <c r="B2279" s="50"/>
      <c r="C2279" s="50"/>
      <c r="D2279" s="50"/>
      <c r="E2279" s="50"/>
      <c r="F2279" s="20"/>
    </row>
    <row r="2280" spans="1:6" x14ac:dyDescent="0.2">
      <c r="A2280" s="81" t="s">
        <v>658</v>
      </c>
      <c r="B2280" s="349" t="s">
        <v>659</v>
      </c>
      <c r="C2280" s="349"/>
      <c r="D2280" s="349"/>
      <c r="E2280" s="54"/>
      <c r="F2280" s="132">
        <v>1</v>
      </c>
    </row>
    <row r="2281" spans="1:6" ht="24" customHeight="1" x14ac:dyDescent="0.2">
      <c r="A2281" s="80" t="s">
        <v>660</v>
      </c>
      <c r="B2281" s="348" t="s">
        <v>661</v>
      </c>
      <c r="C2281" s="348"/>
      <c r="D2281" s="348"/>
      <c r="E2281" s="25" t="s">
        <v>10</v>
      </c>
      <c r="F2281" s="93">
        <v>412</v>
      </c>
    </row>
    <row r="2282" spans="1:6" s="1" customFormat="1" ht="15" x14ac:dyDescent="0.2">
      <c r="A2282" s="356" t="s">
        <v>846</v>
      </c>
      <c r="B2282" s="357"/>
      <c r="C2282" s="357"/>
      <c r="D2282" s="357"/>
      <c r="E2282" s="357"/>
      <c r="F2282" s="358"/>
    </row>
    <row r="2283" spans="1:6" ht="26.1" customHeight="1" x14ac:dyDescent="0.2">
      <c r="A2283" s="80" t="s">
        <v>662</v>
      </c>
      <c r="B2283" s="348" t="s">
        <v>663</v>
      </c>
      <c r="C2283" s="348"/>
      <c r="D2283" s="348"/>
      <c r="E2283" s="25" t="s">
        <v>33</v>
      </c>
      <c r="F2283" s="93">
        <v>20</v>
      </c>
    </row>
    <row r="2284" spans="1:6" s="1" customFormat="1" ht="15" x14ac:dyDescent="0.2">
      <c r="A2284" s="356" t="s">
        <v>846</v>
      </c>
      <c r="B2284" s="357"/>
      <c r="C2284" s="357"/>
      <c r="D2284" s="357"/>
      <c r="E2284" s="357"/>
      <c r="F2284" s="358"/>
    </row>
    <row r="2285" spans="1:6" ht="39" customHeight="1" x14ac:dyDescent="0.2">
      <c r="A2285" s="80" t="s">
        <v>664</v>
      </c>
      <c r="B2285" s="348" t="s">
        <v>665</v>
      </c>
      <c r="C2285" s="348"/>
      <c r="D2285" s="348"/>
      <c r="E2285" s="25" t="s">
        <v>10</v>
      </c>
      <c r="F2285" s="93">
        <v>54</v>
      </c>
    </row>
    <row r="2286" spans="1:6" s="1" customFormat="1" ht="15" x14ac:dyDescent="0.2">
      <c r="A2286" s="356" t="s">
        <v>846</v>
      </c>
      <c r="B2286" s="357"/>
      <c r="C2286" s="357"/>
      <c r="D2286" s="357"/>
      <c r="E2286" s="357"/>
      <c r="F2286" s="358"/>
    </row>
    <row r="2287" spans="1:6" ht="39" customHeight="1" x14ac:dyDescent="0.2">
      <c r="A2287" s="80" t="s">
        <v>666</v>
      </c>
      <c r="B2287" s="348" t="s">
        <v>667</v>
      </c>
      <c r="C2287" s="348"/>
      <c r="D2287" s="348"/>
      <c r="E2287" s="25" t="s">
        <v>33</v>
      </c>
      <c r="F2287" s="93">
        <v>2</v>
      </c>
    </row>
    <row r="2288" spans="1:6" s="1" customFormat="1" ht="15" x14ac:dyDescent="0.2">
      <c r="A2288" s="356" t="s">
        <v>846</v>
      </c>
      <c r="B2288" s="357"/>
      <c r="C2288" s="357"/>
      <c r="D2288" s="357"/>
      <c r="E2288" s="357"/>
      <c r="F2288" s="358"/>
    </row>
    <row r="2289" spans="1:6" ht="39" customHeight="1" x14ac:dyDescent="0.2">
      <c r="A2289" s="80" t="s">
        <v>668</v>
      </c>
      <c r="B2289" s="348" t="s">
        <v>669</v>
      </c>
      <c r="C2289" s="348"/>
      <c r="D2289" s="348"/>
      <c r="E2289" s="25" t="s">
        <v>33</v>
      </c>
      <c r="F2289" s="93">
        <v>1</v>
      </c>
    </row>
    <row r="2290" spans="1:6" s="1" customFormat="1" ht="15" x14ac:dyDescent="0.2">
      <c r="A2290" s="356" t="s">
        <v>846</v>
      </c>
      <c r="B2290" s="357"/>
      <c r="C2290" s="357"/>
      <c r="D2290" s="357"/>
      <c r="E2290" s="357"/>
      <c r="F2290" s="358"/>
    </row>
    <row r="2291" spans="1:6" ht="26.1" customHeight="1" x14ac:dyDescent="0.2">
      <c r="A2291" s="80" t="s">
        <v>670</v>
      </c>
      <c r="B2291" s="348" t="s">
        <v>671</v>
      </c>
      <c r="C2291" s="348"/>
      <c r="D2291" s="348"/>
      <c r="E2291" s="25" t="s">
        <v>33</v>
      </c>
      <c r="F2291" s="93">
        <v>8</v>
      </c>
    </row>
    <row r="2292" spans="1:6" s="1" customFormat="1" ht="15" x14ac:dyDescent="0.2">
      <c r="A2292" s="356" t="s">
        <v>846</v>
      </c>
      <c r="B2292" s="357"/>
      <c r="C2292" s="357"/>
      <c r="D2292" s="357"/>
      <c r="E2292" s="357"/>
      <c r="F2292" s="358"/>
    </row>
    <row r="2293" spans="1:6" ht="39" customHeight="1" x14ac:dyDescent="0.2">
      <c r="A2293" s="80" t="s">
        <v>672</v>
      </c>
      <c r="B2293" s="348" t="s">
        <v>673</v>
      </c>
      <c r="C2293" s="348"/>
      <c r="D2293" s="348"/>
      <c r="E2293" s="25" t="s">
        <v>33</v>
      </c>
      <c r="F2293" s="93">
        <v>3</v>
      </c>
    </row>
    <row r="2294" spans="1:6" s="1" customFormat="1" ht="15" x14ac:dyDescent="0.2">
      <c r="A2294" s="356" t="s">
        <v>846</v>
      </c>
      <c r="B2294" s="357"/>
      <c r="C2294" s="357"/>
      <c r="D2294" s="357"/>
      <c r="E2294" s="357"/>
      <c r="F2294" s="358"/>
    </row>
    <row r="2295" spans="1:6" ht="39" customHeight="1" x14ac:dyDescent="0.2">
      <c r="A2295" s="80" t="s">
        <v>674</v>
      </c>
      <c r="B2295" s="348" t="s">
        <v>675</v>
      </c>
      <c r="C2295" s="348"/>
      <c r="D2295" s="348"/>
      <c r="E2295" s="25" t="s">
        <v>10</v>
      </c>
      <c r="F2295" s="93">
        <v>1781</v>
      </c>
    </row>
    <row r="2296" spans="1:6" s="1" customFormat="1" ht="15" x14ac:dyDescent="0.2">
      <c r="A2296" s="356" t="s">
        <v>846</v>
      </c>
      <c r="B2296" s="357"/>
      <c r="C2296" s="357"/>
      <c r="D2296" s="357"/>
      <c r="E2296" s="357"/>
      <c r="F2296" s="358"/>
    </row>
    <row r="2297" spans="1:6" ht="24" customHeight="1" x14ac:dyDescent="0.2">
      <c r="A2297" s="80" t="s">
        <v>676</v>
      </c>
      <c r="B2297" s="348" t="s">
        <v>677</v>
      </c>
      <c r="C2297" s="348"/>
      <c r="D2297" s="348"/>
      <c r="E2297" s="25" t="s">
        <v>33</v>
      </c>
      <c r="F2297" s="93">
        <v>18</v>
      </c>
    </row>
    <row r="2298" spans="1:6" s="1" customFormat="1" ht="15" x14ac:dyDescent="0.2">
      <c r="A2298" s="356" t="s">
        <v>846</v>
      </c>
      <c r="B2298" s="357"/>
      <c r="C2298" s="357"/>
      <c r="D2298" s="357"/>
      <c r="E2298" s="357"/>
      <c r="F2298" s="358"/>
    </row>
    <row r="2299" spans="1:6" ht="26.1" customHeight="1" x14ac:dyDescent="0.2">
      <c r="A2299" s="80" t="s">
        <v>678</v>
      </c>
      <c r="B2299" s="348" t="s">
        <v>679</v>
      </c>
      <c r="C2299" s="348"/>
      <c r="D2299" s="348"/>
      <c r="E2299" s="25" t="s">
        <v>33</v>
      </c>
      <c r="F2299" s="93">
        <v>7</v>
      </c>
    </row>
    <row r="2300" spans="1:6" s="1" customFormat="1" ht="15" x14ac:dyDescent="0.2">
      <c r="A2300" s="356" t="s">
        <v>846</v>
      </c>
      <c r="B2300" s="357"/>
      <c r="C2300" s="357"/>
      <c r="D2300" s="357"/>
      <c r="E2300" s="357"/>
      <c r="F2300" s="358"/>
    </row>
    <row r="2301" spans="1:6" ht="39" customHeight="1" x14ac:dyDescent="0.2">
      <c r="A2301" s="80" t="s">
        <v>680</v>
      </c>
      <c r="B2301" s="348" t="s">
        <v>681</v>
      </c>
      <c r="C2301" s="348"/>
      <c r="D2301" s="348"/>
      <c r="E2301" s="25" t="s">
        <v>33</v>
      </c>
      <c r="F2301" s="93">
        <v>1</v>
      </c>
    </row>
    <row r="2302" spans="1:6" s="1" customFormat="1" ht="15" x14ac:dyDescent="0.2">
      <c r="A2302" s="356" t="s">
        <v>846</v>
      </c>
      <c r="B2302" s="357"/>
      <c r="C2302" s="357"/>
      <c r="D2302" s="357"/>
      <c r="E2302" s="357"/>
      <c r="F2302" s="358"/>
    </row>
    <row r="2303" spans="1:6" ht="39" customHeight="1" x14ac:dyDescent="0.2">
      <c r="A2303" s="80" t="s">
        <v>682</v>
      </c>
      <c r="B2303" s="348" t="s">
        <v>683</v>
      </c>
      <c r="C2303" s="348"/>
      <c r="D2303" s="348"/>
      <c r="E2303" s="25" t="s">
        <v>33</v>
      </c>
      <c r="F2303" s="93">
        <v>2</v>
      </c>
    </row>
    <row r="2304" spans="1:6" s="1" customFormat="1" ht="15" x14ac:dyDescent="0.2">
      <c r="A2304" s="356" t="s">
        <v>846</v>
      </c>
      <c r="B2304" s="357"/>
      <c r="C2304" s="357"/>
      <c r="D2304" s="357"/>
      <c r="E2304" s="357"/>
      <c r="F2304" s="358"/>
    </row>
    <row r="2305" spans="1:6" ht="26.1" customHeight="1" x14ac:dyDescent="0.2">
      <c r="A2305" s="80" t="s">
        <v>684</v>
      </c>
      <c r="B2305" s="348" t="s">
        <v>685</v>
      </c>
      <c r="C2305" s="348"/>
      <c r="D2305" s="348"/>
      <c r="E2305" s="25" t="s">
        <v>33</v>
      </c>
      <c r="F2305" s="93">
        <v>2</v>
      </c>
    </row>
    <row r="2306" spans="1:6" s="1" customFormat="1" ht="15" x14ac:dyDescent="0.2">
      <c r="A2306" s="356" t="s">
        <v>846</v>
      </c>
      <c r="B2306" s="357"/>
      <c r="C2306" s="357"/>
      <c r="D2306" s="357"/>
      <c r="E2306" s="357"/>
      <c r="F2306" s="358"/>
    </row>
    <row r="2307" spans="1:6" ht="26.1" customHeight="1" x14ac:dyDescent="0.2">
      <c r="A2307" s="80" t="s">
        <v>686</v>
      </c>
      <c r="B2307" s="348" t="s">
        <v>687</v>
      </c>
      <c r="C2307" s="348"/>
      <c r="D2307" s="348"/>
      <c r="E2307" s="25" t="s">
        <v>33</v>
      </c>
      <c r="F2307" s="93">
        <v>2</v>
      </c>
    </row>
    <row r="2308" spans="1:6" s="1" customFormat="1" ht="15" x14ac:dyDescent="0.2">
      <c r="A2308" s="356" t="s">
        <v>846</v>
      </c>
      <c r="B2308" s="357"/>
      <c r="C2308" s="357"/>
      <c r="D2308" s="357"/>
      <c r="E2308" s="357"/>
      <c r="F2308" s="358"/>
    </row>
    <row r="2309" spans="1:6" ht="51.95" customHeight="1" x14ac:dyDescent="0.2">
      <c r="A2309" s="80" t="s">
        <v>688</v>
      </c>
      <c r="B2309" s="348" t="s">
        <v>689</v>
      </c>
      <c r="C2309" s="348"/>
      <c r="D2309" s="348"/>
      <c r="E2309" s="25" t="s">
        <v>10</v>
      </c>
      <c r="F2309" s="93">
        <v>33</v>
      </c>
    </row>
    <row r="2310" spans="1:6" s="1" customFormat="1" ht="15" x14ac:dyDescent="0.2">
      <c r="A2310" s="356" t="s">
        <v>846</v>
      </c>
      <c r="B2310" s="357"/>
      <c r="C2310" s="357"/>
      <c r="D2310" s="357"/>
      <c r="E2310" s="357"/>
      <c r="F2310" s="358"/>
    </row>
    <row r="2311" spans="1:6" ht="26.1" customHeight="1" x14ac:dyDescent="0.2">
      <c r="A2311" s="80" t="s">
        <v>690</v>
      </c>
      <c r="B2311" s="348" t="s">
        <v>691</v>
      </c>
      <c r="C2311" s="348"/>
      <c r="D2311" s="348"/>
      <c r="E2311" s="25" t="s">
        <v>10</v>
      </c>
      <c r="F2311" s="93">
        <v>17</v>
      </c>
    </row>
    <row r="2312" spans="1:6" s="1" customFormat="1" ht="15" x14ac:dyDescent="0.2">
      <c r="A2312" s="356" t="s">
        <v>846</v>
      </c>
      <c r="B2312" s="357"/>
      <c r="C2312" s="357"/>
      <c r="D2312" s="357"/>
      <c r="E2312" s="357"/>
      <c r="F2312" s="358"/>
    </row>
    <row r="2313" spans="1:6" ht="39" customHeight="1" x14ac:dyDescent="0.2">
      <c r="A2313" s="80" t="s">
        <v>692</v>
      </c>
      <c r="B2313" s="348" t="s">
        <v>693</v>
      </c>
      <c r="C2313" s="348"/>
      <c r="D2313" s="348"/>
      <c r="E2313" s="25" t="s">
        <v>16</v>
      </c>
      <c r="F2313" s="93">
        <v>8</v>
      </c>
    </row>
    <row r="2314" spans="1:6" s="1" customFormat="1" ht="15" x14ac:dyDescent="0.2">
      <c r="A2314" s="356" t="s">
        <v>846</v>
      </c>
      <c r="B2314" s="357"/>
      <c r="C2314" s="357"/>
      <c r="D2314" s="357"/>
      <c r="E2314" s="357"/>
      <c r="F2314" s="358"/>
    </row>
    <row r="2315" spans="1:6" ht="26.1" customHeight="1" x14ac:dyDescent="0.2">
      <c r="A2315" s="80" t="s">
        <v>694</v>
      </c>
      <c r="B2315" s="348" t="s">
        <v>695</v>
      </c>
      <c r="C2315" s="348"/>
      <c r="D2315" s="348"/>
      <c r="E2315" s="25" t="s">
        <v>33</v>
      </c>
      <c r="F2315" s="93">
        <v>6</v>
      </c>
    </row>
    <row r="2316" spans="1:6" s="1" customFormat="1" ht="15" x14ac:dyDescent="0.2">
      <c r="A2316" s="356" t="s">
        <v>846</v>
      </c>
      <c r="B2316" s="357"/>
      <c r="C2316" s="357"/>
      <c r="D2316" s="357"/>
      <c r="E2316" s="357"/>
      <c r="F2316" s="358"/>
    </row>
    <row r="2317" spans="1:6" ht="26.1" customHeight="1" x14ac:dyDescent="0.2">
      <c r="A2317" s="80" t="s">
        <v>696</v>
      </c>
      <c r="B2317" s="348" t="s">
        <v>697</v>
      </c>
      <c r="C2317" s="348"/>
      <c r="D2317" s="348"/>
      <c r="E2317" s="25" t="s">
        <v>33</v>
      </c>
      <c r="F2317" s="93">
        <v>13</v>
      </c>
    </row>
    <row r="2318" spans="1:6" s="1" customFormat="1" ht="15" x14ac:dyDescent="0.2">
      <c r="A2318" s="356" t="s">
        <v>846</v>
      </c>
      <c r="B2318" s="357"/>
      <c r="C2318" s="357"/>
      <c r="D2318" s="357"/>
      <c r="E2318" s="357"/>
      <c r="F2318" s="358"/>
    </row>
    <row r="2319" spans="1:6" ht="26.1" customHeight="1" x14ac:dyDescent="0.2">
      <c r="A2319" s="80" t="s">
        <v>698</v>
      </c>
      <c r="B2319" s="348" t="s">
        <v>699</v>
      </c>
      <c r="C2319" s="348"/>
      <c r="D2319" s="348"/>
      <c r="E2319" s="25" t="s">
        <v>33</v>
      </c>
      <c r="F2319" s="93">
        <v>1</v>
      </c>
    </row>
    <row r="2320" spans="1:6" s="1" customFormat="1" ht="15" x14ac:dyDescent="0.2">
      <c r="A2320" s="356" t="s">
        <v>846</v>
      </c>
      <c r="B2320" s="357"/>
      <c r="C2320" s="357"/>
      <c r="D2320" s="357"/>
      <c r="E2320" s="357"/>
      <c r="F2320" s="358"/>
    </row>
    <row r="2321" spans="1:6" ht="65.099999999999994" customHeight="1" x14ac:dyDescent="0.2">
      <c r="A2321" s="80" t="s">
        <v>700</v>
      </c>
      <c r="B2321" s="348" t="s">
        <v>701</v>
      </c>
      <c r="C2321" s="348"/>
      <c r="D2321" s="348"/>
      <c r="E2321" s="25" t="s">
        <v>10</v>
      </c>
      <c r="F2321" s="93">
        <v>12</v>
      </c>
    </row>
    <row r="2322" spans="1:6" s="1" customFormat="1" ht="15" x14ac:dyDescent="0.2">
      <c r="A2322" s="356" t="s">
        <v>846</v>
      </c>
      <c r="B2322" s="357"/>
      <c r="C2322" s="357"/>
      <c r="D2322" s="357"/>
      <c r="E2322" s="357"/>
      <c r="F2322" s="358"/>
    </row>
    <row r="2323" spans="1:6" ht="78" customHeight="1" x14ac:dyDescent="0.2">
      <c r="A2323" s="80" t="s">
        <v>702</v>
      </c>
      <c r="B2323" s="348" t="s">
        <v>703</v>
      </c>
      <c r="C2323" s="348"/>
      <c r="D2323" s="348"/>
      <c r="E2323" s="25" t="s">
        <v>16</v>
      </c>
      <c r="F2323" s="93">
        <v>18</v>
      </c>
    </row>
    <row r="2324" spans="1:6" s="1" customFormat="1" ht="15" x14ac:dyDescent="0.2">
      <c r="A2324" s="356" t="s">
        <v>846</v>
      </c>
      <c r="B2324" s="357"/>
      <c r="C2324" s="357"/>
      <c r="D2324" s="357"/>
      <c r="E2324" s="357"/>
      <c r="F2324" s="358"/>
    </row>
    <row r="2325" spans="1:6" x14ac:dyDescent="0.2">
      <c r="A2325" s="81" t="s">
        <v>704</v>
      </c>
      <c r="B2325" s="349" t="s">
        <v>95</v>
      </c>
      <c r="C2325" s="349"/>
      <c r="D2325" s="349"/>
      <c r="E2325" s="54"/>
      <c r="F2325" s="132">
        <v>1</v>
      </c>
    </row>
    <row r="2326" spans="1:6" ht="39" customHeight="1" x14ac:dyDescent="0.2">
      <c r="A2326" s="80" t="s">
        <v>705</v>
      </c>
      <c r="B2326" s="348" t="s">
        <v>160</v>
      </c>
      <c r="C2326" s="348"/>
      <c r="D2326" s="348"/>
      <c r="E2326" s="25" t="s">
        <v>13</v>
      </c>
      <c r="F2326" s="93">
        <f>E2330</f>
        <v>54.015000000000001</v>
      </c>
    </row>
    <row r="2327" spans="1:6" s="1" customFormat="1" ht="15" x14ac:dyDescent="0.2">
      <c r="A2327" s="19"/>
      <c r="B2327" s="50"/>
      <c r="C2327" s="50"/>
      <c r="D2327" s="50"/>
      <c r="E2327" s="50"/>
      <c r="F2327" s="20"/>
    </row>
    <row r="2328" spans="1:6" s="1" customFormat="1" ht="15" x14ac:dyDescent="0.2">
      <c r="A2328" s="21" t="s">
        <v>186</v>
      </c>
      <c r="B2328" s="2" t="s">
        <v>187</v>
      </c>
      <c r="C2328" s="2" t="s">
        <v>188</v>
      </c>
      <c r="D2328" s="2" t="s">
        <v>295</v>
      </c>
      <c r="E2328" s="2" t="s">
        <v>194</v>
      </c>
      <c r="F2328" s="35"/>
    </row>
    <row r="2329" spans="1:6" s="1" customFormat="1" ht="15" x14ac:dyDescent="0.2">
      <c r="A2329" s="22" t="s">
        <v>847</v>
      </c>
      <c r="B2329" s="3">
        <f>3.3+14.97+2.86+14.88</f>
        <v>36.01</v>
      </c>
      <c r="C2329" s="3">
        <v>1.5</v>
      </c>
      <c r="D2329" s="23">
        <v>1</v>
      </c>
      <c r="E2329" s="23">
        <f>B2329*C2329*D2329</f>
        <v>54.015000000000001</v>
      </c>
      <c r="F2329" s="34"/>
    </row>
    <row r="2330" spans="1:6" s="1" customFormat="1" ht="15" x14ac:dyDescent="0.2">
      <c r="A2330" s="372" t="s">
        <v>227</v>
      </c>
      <c r="B2330" s="373"/>
      <c r="C2330" s="373"/>
      <c r="D2330" s="373"/>
      <c r="E2330" s="2">
        <f>E2329</f>
        <v>54.015000000000001</v>
      </c>
      <c r="F2330" s="34"/>
    </row>
    <row r="2331" spans="1:6" s="1" customFormat="1" ht="15" x14ac:dyDescent="0.2">
      <c r="A2331" s="19"/>
      <c r="B2331" s="50"/>
      <c r="C2331" s="50"/>
      <c r="D2331" s="50"/>
      <c r="E2331" s="50"/>
      <c r="F2331" s="20"/>
    </row>
    <row r="2332" spans="1:6" ht="46.5" customHeight="1" x14ac:dyDescent="0.2">
      <c r="A2332" s="80" t="s">
        <v>706</v>
      </c>
      <c r="B2332" s="348" t="s">
        <v>1565</v>
      </c>
      <c r="C2332" s="348"/>
      <c r="D2332" s="348"/>
      <c r="E2332" s="25" t="s">
        <v>10</v>
      </c>
      <c r="F2332" s="93">
        <f>D2337</f>
        <v>44.41</v>
      </c>
    </row>
    <row r="2333" spans="1:6" s="1" customFormat="1" ht="15" x14ac:dyDescent="0.2">
      <c r="A2333" s="19"/>
      <c r="B2333" s="50"/>
      <c r="C2333" s="50"/>
      <c r="D2333" s="50"/>
      <c r="E2333" s="50"/>
      <c r="F2333" s="20"/>
    </row>
    <row r="2334" spans="1:6" s="1" customFormat="1" ht="25.5" x14ac:dyDescent="0.2">
      <c r="A2334" s="21" t="s">
        <v>186</v>
      </c>
      <c r="B2334" s="2" t="s">
        <v>187</v>
      </c>
      <c r="C2334" s="2" t="s">
        <v>295</v>
      </c>
      <c r="D2334" s="2" t="s">
        <v>298</v>
      </c>
      <c r="E2334" s="43"/>
      <c r="F2334" s="35"/>
    </row>
    <row r="2335" spans="1:6" s="1" customFormat="1" ht="15" x14ac:dyDescent="0.2">
      <c r="A2335" s="22" t="s">
        <v>847</v>
      </c>
      <c r="B2335" s="3">
        <f>3.3+14.97+2.86+14.88</f>
        <v>36.01</v>
      </c>
      <c r="C2335" s="23">
        <v>1</v>
      </c>
      <c r="D2335" s="23">
        <f>B2335*C2335</f>
        <v>36.01</v>
      </c>
      <c r="E2335" s="45"/>
      <c r="F2335" s="34"/>
    </row>
    <row r="2336" spans="1:6" s="1" customFormat="1" ht="15" x14ac:dyDescent="0.2">
      <c r="A2336" s="22" t="s">
        <v>771</v>
      </c>
      <c r="B2336" s="3">
        <f>1.5+1.2+1.5</f>
        <v>4.2</v>
      </c>
      <c r="C2336" s="23">
        <v>2</v>
      </c>
      <c r="D2336" s="23">
        <f>B2336*C2336</f>
        <v>8.4</v>
      </c>
      <c r="E2336" s="44"/>
      <c r="F2336" s="34"/>
    </row>
    <row r="2337" spans="1:6" s="1" customFormat="1" ht="15" x14ac:dyDescent="0.2">
      <c r="A2337" s="355" t="s">
        <v>433</v>
      </c>
      <c r="B2337" s="350"/>
      <c r="C2337" s="350"/>
      <c r="D2337" s="2">
        <f>SUM(D2335:D2336)</f>
        <v>44.41</v>
      </c>
      <c r="E2337" s="43"/>
      <c r="F2337" s="34"/>
    </row>
    <row r="2338" spans="1:6" s="1" customFormat="1" ht="15" x14ac:dyDescent="0.2">
      <c r="A2338" s="19"/>
      <c r="B2338" s="50"/>
      <c r="C2338" s="50"/>
      <c r="D2338" s="50"/>
      <c r="E2338" s="50"/>
      <c r="F2338" s="20"/>
    </row>
    <row r="2339" spans="1:6" ht="65.099999999999994" customHeight="1" x14ac:dyDescent="0.2">
      <c r="A2339" s="80" t="s">
        <v>707</v>
      </c>
      <c r="B2339" s="348" t="s">
        <v>708</v>
      </c>
      <c r="C2339" s="348"/>
      <c r="D2339" s="348"/>
      <c r="E2339" s="25" t="s">
        <v>10</v>
      </c>
      <c r="F2339" s="93">
        <f>D2343</f>
        <v>13.45</v>
      </c>
    </row>
    <row r="2340" spans="1:6" s="1" customFormat="1" ht="15" x14ac:dyDescent="0.2">
      <c r="A2340" s="19"/>
      <c r="B2340" s="50"/>
      <c r="C2340" s="50"/>
      <c r="D2340" s="50"/>
      <c r="E2340" s="50"/>
      <c r="F2340" s="20"/>
    </row>
    <row r="2341" spans="1:6" s="1" customFormat="1" ht="25.5" x14ac:dyDescent="0.2">
      <c r="A2341" s="21" t="s">
        <v>186</v>
      </c>
      <c r="B2341" s="2" t="s">
        <v>187</v>
      </c>
      <c r="C2341" s="2" t="s">
        <v>295</v>
      </c>
      <c r="D2341" s="2" t="s">
        <v>298</v>
      </c>
      <c r="E2341" s="43"/>
      <c r="F2341" s="35"/>
    </row>
    <row r="2342" spans="1:6" s="1" customFormat="1" ht="15" x14ac:dyDescent="0.2">
      <c r="A2342" s="22" t="s">
        <v>847</v>
      </c>
      <c r="B2342" s="3">
        <v>13.45</v>
      </c>
      <c r="C2342" s="23">
        <v>1</v>
      </c>
      <c r="D2342" s="23">
        <f>B2342*C2342</f>
        <v>13.45</v>
      </c>
      <c r="E2342" s="45"/>
      <c r="F2342" s="34"/>
    </row>
    <row r="2343" spans="1:6" s="1" customFormat="1" ht="15" x14ac:dyDescent="0.2">
      <c r="A2343" s="355" t="s">
        <v>433</v>
      </c>
      <c r="B2343" s="350"/>
      <c r="C2343" s="350"/>
      <c r="D2343" s="2">
        <f>SUM(D2342:D2342)</f>
        <v>13.45</v>
      </c>
      <c r="E2343" s="43"/>
      <c r="F2343" s="34"/>
    </row>
    <row r="2344" spans="1:6" s="1" customFormat="1" ht="15" x14ac:dyDescent="0.2">
      <c r="A2344" s="19"/>
      <c r="B2344" s="50"/>
      <c r="C2344" s="50"/>
      <c r="D2344" s="50"/>
      <c r="E2344" s="50"/>
      <c r="F2344" s="20"/>
    </row>
    <row r="2345" spans="1:6" ht="90.95" customHeight="1" x14ac:dyDescent="0.2">
      <c r="A2345" s="80" t="s">
        <v>709</v>
      </c>
      <c r="B2345" s="348" t="s">
        <v>710</v>
      </c>
      <c r="C2345" s="348"/>
      <c r="D2345" s="348"/>
      <c r="E2345" s="25" t="s">
        <v>10</v>
      </c>
      <c r="F2345" s="93">
        <f>D2350</f>
        <v>51.480000000000004</v>
      </c>
    </row>
    <row r="2346" spans="1:6" s="1" customFormat="1" ht="15" x14ac:dyDescent="0.2">
      <c r="A2346" s="19"/>
      <c r="B2346" s="50"/>
      <c r="C2346" s="50"/>
      <c r="D2346" s="50"/>
      <c r="E2346" s="50"/>
      <c r="F2346" s="20"/>
    </row>
    <row r="2347" spans="1:6" s="1" customFormat="1" ht="25.5" x14ac:dyDescent="0.2">
      <c r="A2347" s="21" t="s">
        <v>186</v>
      </c>
      <c r="B2347" s="2" t="s">
        <v>187</v>
      </c>
      <c r="C2347" s="2" t="s">
        <v>295</v>
      </c>
      <c r="D2347" s="2" t="s">
        <v>298</v>
      </c>
      <c r="E2347" s="43"/>
      <c r="F2347" s="35"/>
    </row>
    <row r="2348" spans="1:6" s="1" customFormat="1" ht="15" x14ac:dyDescent="0.2">
      <c r="A2348" s="22" t="s">
        <v>847</v>
      </c>
      <c r="B2348" s="3">
        <f>2.84+14.97+3.41+13.46</f>
        <v>34.680000000000007</v>
      </c>
      <c r="C2348" s="23">
        <v>1</v>
      </c>
      <c r="D2348" s="23">
        <f>B2348*C2348</f>
        <v>34.680000000000007</v>
      </c>
      <c r="E2348" s="45"/>
      <c r="F2348" s="34"/>
    </row>
    <row r="2349" spans="1:6" s="1" customFormat="1" ht="15" x14ac:dyDescent="0.2">
      <c r="A2349" s="22" t="s">
        <v>771</v>
      </c>
      <c r="B2349" s="3">
        <f>1.5+1.2+1.5</f>
        <v>4.2</v>
      </c>
      <c r="C2349" s="23">
        <v>4</v>
      </c>
      <c r="D2349" s="23">
        <f>B2349*C2349</f>
        <v>16.8</v>
      </c>
      <c r="E2349" s="44"/>
      <c r="F2349" s="34"/>
    </row>
    <row r="2350" spans="1:6" s="1" customFormat="1" ht="15" x14ac:dyDescent="0.2">
      <c r="A2350" s="355" t="s">
        <v>433</v>
      </c>
      <c r="B2350" s="350"/>
      <c r="C2350" s="350"/>
      <c r="D2350" s="2">
        <f>SUM(D2348:D2349)</f>
        <v>51.480000000000004</v>
      </c>
      <c r="E2350" s="43"/>
      <c r="F2350" s="34"/>
    </row>
    <row r="2351" spans="1:6" s="1" customFormat="1" ht="15" x14ac:dyDescent="0.2">
      <c r="A2351" s="19"/>
      <c r="B2351" s="50"/>
      <c r="C2351" s="50"/>
      <c r="D2351" s="50"/>
      <c r="E2351" s="50"/>
      <c r="F2351" s="20"/>
    </row>
    <row r="2352" spans="1:6" ht="24" customHeight="1" x14ac:dyDescent="0.2">
      <c r="A2352" s="80" t="s">
        <v>711</v>
      </c>
      <c r="B2352" s="348" t="s">
        <v>712</v>
      </c>
      <c r="C2352" s="348"/>
      <c r="D2352" s="348"/>
      <c r="E2352" s="25" t="s">
        <v>10</v>
      </c>
      <c r="F2352" s="93">
        <f>B2371</f>
        <v>397.89</v>
      </c>
    </row>
    <row r="2353" spans="1:6" s="1" customFormat="1" ht="15" x14ac:dyDescent="0.2">
      <c r="A2353" s="19"/>
      <c r="B2353" s="50"/>
      <c r="C2353" s="50"/>
      <c r="D2353" s="50"/>
      <c r="E2353" s="50"/>
      <c r="F2353" s="20"/>
    </row>
    <row r="2354" spans="1:6" s="1" customFormat="1" ht="15" x14ac:dyDescent="0.2">
      <c r="A2354" s="21" t="s">
        <v>186</v>
      </c>
      <c r="B2354" s="2" t="s">
        <v>192</v>
      </c>
      <c r="C2354" s="47"/>
      <c r="D2354" s="47"/>
      <c r="E2354" s="43"/>
      <c r="F2354" s="35"/>
    </row>
    <row r="2355" spans="1:6" s="1" customFormat="1" ht="15" x14ac:dyDescent="0.2">
      <c r="A2355" s="22" t="s">
        <v>848</v>
      </c>
      <c r="B2355" s="3">
        <v>52.42</v>
      </c>
      <c r="C2355" s="45"/>
      <c r="D2355" s="45"/>
      <c r="E2355" s="45"/>
      <c r="F2355" s="34"/>
    </row>
    <row r="2356" spans="1:6" s="1" customFormat="1" ht="15" x14ac:dyDescent="0.2">
      <c r="A2356" s="22" t="s">
        <v>849</v>
      </c>
      <c r="B2356" s="3">
        <v>21.91</v>
      </c>
      <c r="C2356" s="45"/>
      <c r="D2356" s="45"/>
      <c r="E2356" s="44"/>
      <c r="F2356" s="34"/>
    </row>
    <row r="2357" spans="1:6" s="1" customFormat="1" ht="15" x14ac:dyDescent="0.2">
      <c r="A2357" s="22" t="s">
        <v>851</v>
      </c>
      <c r="B2357" s="3">
        <v>23.16</v>
      </c>
      <c r="C2357" s="45"/>
      <c r="D2357" s="45"/>
      <c r="E2357" s="45"/>
      <c r="F2357" s="34"/>
    </row>
    <row r="2358" spans="1:6" s="1" customFormat="1" ht="15" x14ac:dyDescent="0.2">
      <c r="A2358" s="22" t="s">
        <v>852</v>
      </c>
      <c r="B2358" s="3">
        <v>12.1</v>
      </c>
      <c r="C2358" s="45"/>
      <c r="D2358" s="45"/>
      <c r="E2358" s="44"/>
      <c r="F2358" s="34"/>
    </row>
    <row r="2359" spans="1:6" s="1" customFormat="1" ht="15" x14ac:dyDescent="0.2">
      <c r="A2359" s="22" t="s">
        <v>853</v>
      </c>
      <c r="B2359" s="3">
        <v>30.05</v>
      </c>
      <c r="C2359" s="45"/>
      <c r="D2359" s="45"/>
      <c r="E2359" s="45"/>
      <c r="F2359" s="34"/>
    </row>
    <row r="2360" spans="1:6" s="1" customFormat="1" ht="15" x14ac:dyDescent="0.2">
      <c r="A2360" s="22" t="s">
        <v>850</v>
      </c>
      <c r="B2360" s="3">
        <v>11.01</v>
      </c>
      <c r="C2360" s="45"/>
      <c r="D2360" s="45"/>
      <c r="E2360" s="44"/>
      <c r="F2360" s="34"/>
    </row>
    <row r="2361" spans="1:6" s="1" customFormat="1" ht="15" x14ac:dyDescent="0.2">
      <c r="A2361" s="22" t="s">
        <v>854</v>
      </c>
      <c r="B2361" s="3">
        <v>17.7</v>
      </c>
      <c r="C2361" s="45"/>
      <c r="D2361" s="45"/>
      <c r="E2361" s="45"/>
      <c r="F2361" s="34"/>
    </row>
    <row r="2362" spans="1:6" s="1" customFormat="1" ht="15" x14ac:dyDescent="0.2">
      <c r="A2362" s="22" t="s">
        <v>855</v>
      </c>
      <c r="B2362" s="3">
        <v>9.36</v>
      </c>
      <c r="C2362" s="45"/>
      <c r="D2362" s="45"/>
      <c r="E2362" s="44"/>
      <c r="F2362" s="34"/>
    </row>
    <row r="2363" spans="1:6" s="1" customFormat="1" ht="15" x14ac:dyDescent="0.2">
      <c r="A2363" s="22" t="s">
        <v>856</v>
      </c>
      <c r="B2363" s="3">
        <v>3.28</v>
      </c>
      <c r="C2363" s="45"/>
      <c r="D2363" s="45"/>
      <c r="E2363" s="45"/>
      <c r="F2363" s="34"/>
    </row>
    <row r="2364" spans="1:6" s="1" customFormat="1" ht="15" x14ac:dyDescent="0.2">
      <c r="A2364" s="22" t="s">
        <v>857</v>
      </c>
      <c r="B2364" s="3">
        <v>30.16</v>
      </c>
      <c r="C2364" s="45"/>
      <c r="D2364" s="45"/>
      <c r="E2364" s="44"/>
      <c r="F2364" s="34"/>
    </row>
    <row r="2365" spans="1:6" s="1" customFormat="1" ht="15" x14ac:dyDescent="0.2">
      <c r="A2365" s="22" t="s">
        <v>858</v>
      </c>
      <c r="B2365" s="3">
        <v>38.19</v>
      </c>
      <c r="C2365" s="45"/>
      <c r="D2365" s="45"/>
      <c r="E2365" s="45"/>
      <c r="F2365" s="34"/>
    </row>
    <row r="2366" spans="1:6" s="1" customFormat="1" ht="15" x14ac:dyDescent="0.2">
      <c r="A2366" s="22" t="s">
        <v>859</v>
      </c>
      <c r="B2366" s="3">
        <v>7.22</v>
      </c>
      <c r="C2366" s="45"/>
      <c r="D2366" s="45"/>
      <c r="E2366" s="44"/>
      <c r="F2366" s="34"/>
    </row>
    <row r="2367" spans="1:6" s="1" customFormat="1" ht="15" x14ac:dyDescent="0.2">
      <c r="A2367" s="22" t="s">
        <v>860</v>
      </c>
      <c r="B2367" s="3">
        <v>17.52</v>
      </c>
      <c r="C2367" s="45"/>
      <c r="D2367" s="45"/>
      <c r="E2367" s="45"/>
      <c r="F2367" s="34"/>
    </row>
    <row r="2368" spans="1:6" s="1" customFormat="1" ht="15" x14ac:dyDescent="0.2">
      <c r="A2368" s="22" t="s">
        <v>861</v>
      </c>
      <c r="B2368" s="3">
        <v>28</v>
      </c>
      <c r="C2368" s="45"/>
      <c r="D2368" s="45"/>
      <c r="E2368" s="44"/>
      <c r="F2368" s="34"/>
    </row>
    <row r="2369" spans="1:6" s="1" customFormat="1" ht="15" x14ac:dyDescent="0.2">
      <c r="A2369" s="22" t="s">
        <v>862</v>
      </c>
      <c r="B2369" s="3">
        <v>59.56</v>
      </c>
      <c r="C2369" s="45"/>
      <c r="D2369" s="45"/>
      <c r="E2369" s="45"/>
      <c r="F2369" s="34"/>
    </row>
    <row r="2370" spans="1:6" s="1" customFormat="1" ht="15" x14ac:dyDescent="0.2">
      <c r="A2370" s="22" t="s">
        <v>863</v>
      </c>
      <c r="B2370" s="3">
        <v>36.25</v>
      </c>
      <c r="C2370" s="45"/>
      <c r="D2370" s="45"/>
      <c r="E2370" s="44"/>
      <c r="F2370" s="34"/>
    </row>
    <row r="2371" spans="1:6" s="1" customFormat="1" ht="15" x14ac:dyDescent="0.2">
      <c r="A2371" s="21" t="s">
        <v>433</v>
      </c>
      <c r="B2371" s="2">
        <f>SUM(B2355:B2370)</f>
        <v>397.89</v>
      </c>
      <c r="C2371" s="48"/>
      <c r="D2371" s="47"/>
      <c r="E2371" s="43"/>
      <c r="F2371" s="34"/>
    </row>
    <row r="2372" spans="1:6" s="1" customFormat="1" ht="15" x14ac:dyDescent="0.2">
      <c r="A2372" s="19"/>
      <c r="B2372" s="50"/>
      <c r="C2372" s="50"/>
      <c r="D2372" s="50"/>
      <c r="E2372" s="50"/>
      <c r="F2372" s="20"/>
    </row>
    <row r="2373" spans="1:6" x14ac:dyDescent="0.2">
      <c r="A2373" s="81" t="s">
        <v>713</v>
      </c>
      <c r="B2373" s="349" t="s">
        <v>714</v>
      </c>
      <c r="C2373" s="349"/>
      <c r="D2373" s="349"/>
      <c r="E2373" s="54"/>
      <c r="F2373" s="132">
        <v>1</v>
      </c>
    </row>
    <row r="2374" spans="1:6" ht="26.1" customHeight="1" x14ac:dyDescent="0.2">
      <c r="A2374" s="80" t="s">
        <v>715</v>
      </c>
      <c r="B2374" s="348" t="s">
        <v>716</v>
      </c>
      <c r="C2374" s="348"/>
      <c r="D2374" s="348"/>
      <c r="E2374" s="25" t="s">
        <v>13</v>
      </c>
      <c r="F2374" s="93">
        <v>560</v>
      </c>
    </row>
    <row r="2375" spans="1:6" s="1" customFormat="1" ht="15" x14ac:dyDescent="0.2">
      <c r="A2375" s="356" t="s">
        <v>864</v>
      </c>
      <c r="B2375" s="357"/>
      <c r="C2375" s="357"/>
      <c r="D2375" s="357"/>
      <c r="E2375" s="357"/>
      <c r="F2375" s="358"/>
    </row>
    <row r="2376" spans="1:6" ht="26.1" customHeight="1" x14ac:dyDescent="0.2">
      <c r="A2376" s="80" t="s">
        <v>717</v>
      </c>
      <c r="B2376" s="348" t="s">
        <v>718</v>
      </c>
      <c r="C2376" s="348"/>
      <c r="D2376" s="348"/>
      <c r="E2376" s="25" t="s">
        <v>16</v>
      </c>
      <c r="F2376" s="93">
        <v>22</v>
      </c>
    </row>
    <row r="2377" spans="1:6" s="1" customFormat="1" ht="15" x14ac:dyDescent="0.2">
      <c r="A2377" s="356" t="s">
        <v>864</v>
      </c>
      <c r="B2377" s="357"/>
      <c r="C2377" s="357"/>
      <c r="D2377" s="357"/>
      <c r="E2377" s="357"/>
      <c r="F2377" s="358"/>
    </row>
    <row r="2378" spans="1:6" ht="26.1" customHeight="1" x14ac:dyDescent="0.2">
      <c r="A2378" s="80" t="s">
        <v>719</v>
      </c>
      <c r="B2378" s="348" t="s">
        <v>720</v>
      </c>
      <c r="C2378" s="348"/>
      <c r="D2378" s="348"/>
      <c r="E2378" s="25" t="s">
        <v>16</v>
      </c>
      <c r="F2378" s="93">
        <v>105</v>
      </c>
    </row>
    <row r="2379" spans="1:6" s="1" customFormat="1" ht="15" x14ac:dyDescent="0.2">
      <c r="A2379" s="356" t="s">
        <v>864</v>
      </c>
      <c r="B2379" s="357"/>
      <c r="C2379" s="357"/>
      <c r="D2379" s="357"/>
      <c r="E2379" s="357"/>
      <c r="F2379" s="358"/>
    </row>
    <row r="2380" spans="1:6" ht="26.1" customHeight="1" x14ac:dyDescent="0.2">
      <c r="A2380" s="80" t="s">
        <v>721</v>
      </c>
      <c r="B2380" s="348" t="s">
        <v>722</v>
      </c>
      <c r="C2380" s="348"/>
      <c r="D2380" s="348"/>
      <c r="E2380" s="25" t="s">
        <v>16</v>
      </c>
      <c r="F2380" s="93">
        <v>6</v>
      </c>
    </row>
    <row r="2381" spans="1:6" s="1" customFormat="1" ht="15" x14ac:dyDescent="0.2">
      <c r="A2381" s="356" t="s">
        <v>864</v>
      </c>
      <c r="B2381" s="357"/>
      <c r="C2381" s="357"/>
      <c r="D2381" s="357"/>
      <c r="E2381" s="357"/>
      <c r="F2381" s="358"/>
    </row>
    <row r="2382" spans="1:6" ht="26.1" customHeight="1" x14ac:dyDescent="0.2">
      <c r="A2382" s="80" t="s">
        <v>723</v>
      </c>
      <c r="B2382" s="348" t="s">
        <v>724</v>
      </c>
      <c r="C2382" s="348"/>
      <c r="D2382" s="348"/>
      <c r="E2382" s="25" t="s">
        <v>16</v>
      </c>
      <c r="F2382" s="93">
        <v>6</v>
      </c>
    </row>
    <row r="2383" spans="1:6" s="1" customFormat="1" ht="15" x14ac:dyDescent="0.2">
      <c r="A2383" s="356" t="s">
        <v>864</v>
      </c>
      <c r="B2383" s="357"/>
      <c r="C2383" s="357"/>
      <c r="D2383" s="357"/>
      <c r="E2383" s="357"/>
      <c r="F2383" s="358"/>
    </row>
    <row r="2384" spans="1:6" x14ac:dyDescent="0.2">
      <c r="A2384" s="80" t="s">
        <v>1070</v>
      </c>
      <c r="B2384" s="348" t="s">
        <v>903</v>
      </c>
      <c r="C2384" s="348"/>
      <c r="D2384" s="348"/>
      <c r="E2384" s="25" t="s">
        <v>16</v>
      </c>
      <c r="F2384" s="93">
        <v>12</v>
      </c>
    </row>
    <row r="2385" spans="1:6" s="1" customFormat="1" ht="15" x14ac:dyDescent="0.2">
      <c r="A2385" s="356" t="s">
        <v>864</v>
      </c>
      <c r="B2385" s="357"/>
      <c r="C2385" s="357"/>
      <c r="D2385" s="357"/>
      <c r="E2385" s="357"/>
      <c r="F2385" s="358"/>
    </row>
    <row r="2386" spans="1:6" x14ac:dyDescent="0.2">
      <c r="A2386" s="81" t="s">
        <v>865</v>
      </c>
      <c r="B2386" s="349" t="s">
        <v>459</v>
      </c>
      <c r="C2386" s="349"/>
      <c r="D2386" s="349"/>
      <c r="E2386" s="54"/>
      <c r="F2386" s="132">
        <v>1</v>
      </c>
    </row>
    <row r="2387" spans="1:6" ht="26.1" customHeight="1" x14ac:dyDescent="0.2">
      <c r="A2387" s="80" t="s">
        <v>867</v>
      </c>
      <c r="B2387" s="348" t="s">
        <v>457</v>
      </c>
      <c r="C2387" s="348"/>
      <c r="D2387" s="348"/>
      <c r="E2387" s="25" t="s">
        <v>10</v>
      </c>
      <c r="F2387" s="93">
        <v>5.22</v>
      </c>
    </row>
    <row r="2388" spans="1:6" s="1" customFormat="1" ht="15" x14ac:dyDescent="0.2">
      <c r="A2388" s="356" t="s">
        <v>866</v>
      </c>
      <c r="B2388" s="357"/>
      <c r="C2388" s="357"/>
      <c r="D2388" s="357"/>
      <c r="E2388" s="357"/>
      <c r="F2388" s="358"/>
    </row>
    <row r="2389" spans="1:6" ht="26.1" customHeight="1" x14ac:dyDescent="0.2">
      <c r="A2389" s="80" t="s">
        <v>868</v>
      </c>
      <c r="B2389" s="348" t="s">
        <v>872</v>
      </c>
      <c r="C2389" s="348"/>
      <c r="D2389" s="348"/>
      <c r="E2389" s="25" t="s">
        <v>16</v>
      </c>
      <c r="F2389" s="93">
        <v>1</v>
      </c>
    </row>
    <row r="2390" spans="1:6" s="1" customFormat="1" ht="15" x14ac:dyDescent="0.2">
      <c r="A2390" s="356" t="s">
        <v>866</v>
      </c>
      <c r="B2390" s="357"/>
      <c r="C2390" s="357"/>
      <c r="D2390" s="357"/>
      <c r="E2390" s="357"/>
      <c r="F2390" s="358"/>
    </row>
    <row r="2391" spans="1:6" ht="39" customHeight="1" x14ac:dyDescent="0.2">
      <c r="A2391" s="80" t="s">
        <v>869</v>
      </c>
      <c r="B2391" s="348" t="s">
        <v>873</v>
      </c>
      <c r="C2391" s="348"/>
      <c r="D2391" s="348"/>
      <c r="E2391" s="25" t="s">
        <v>16</v>
      </c>
      <c r="F2391" s="93">
        <v>1</v>
      </c>
    </row>
    <row r="2392" spans="1:6" s="1" customFormat="1" ht="15" x14ac:dyDescent="0.2">
      <c r="A2392" s="356" t="s">
        <v>866</v>
      </c>
      <c r="B2392" s="357"/>
      <c r="C2392" s="357"/>
      <c r="D2392" s="357"/>
      <c r="E2392" s="357"/>
      <c r="F2392" s="358"/>
    </row>
    <row r="2393" spans="1:6" ht="39.75" customHeight="1" x14ac:dyDescent="0.2">
      <c r="A2393" s="80" t="s">
        <v>870</v>
      </c>
      <c r="B2393" s="348" t="s">
        <v>874</v>
      </c>
      <c r="C2393" s="348"/>
      <c r="D2393" s="348"/>
      <c r="E2393" s="25" t="s">
        <v>16</v>
      </c>
      <c r="F2393" s="93">
        <v>1</v>
      </c>
    </row>
    <row r="2394" spans="1:6" s="1" customFormat="1" ht="15" x14ac:dyDescent="0.2">
      <c r="A2394" s="356" t="s">
        <v>866</v>
      </c>
      <c r="B2394" s="357"/>
      <c r="C2394" s="357"/>
      <c r="D2394" s="357"/>
      <c r="E2394" s="357"/>
      <c r="F2394" s="358"/>
    </row>
    <row r="2395" spans="1:6" ht="42.75" customHeight="1" x14ac:dyDescent="0.2">
      <c r="A2395" s="80" t="s">
        <v>871</v>
      </c>
      <c r="B2395" s="348" t="s">
        <v>875</v>
      </c>
      <c r="C2395" s="348"/>
      <c r="D2395" s="348"/>
      <c r="E2395" s="25" t="s">
        <v>16</v>
      </c>
      <c r="F2395" s="93">
        <v>3</v>
      </c>
    </row>
    <row r="2396" spans="1:6" s="1" customFormat="1" ht="15" x14ac:dyDescent="0.2">
      <c r="A2396" s="356" t="s">
        <v>866</v>
      </c>
      <c r="B2396" s="357"/>
      <c r="C2396" s="357"/>
      <c r="D2396" s="357"/>
      <c r="E2396" s="357"/>
      <c r="F2396" s="358"/>
    </row>
    <row r="2397" spans="1:6" ht="24" customHeight="1" x14ac:dyDescent="0.2">
      <c r="A2397" s="57" t="s">
        <v>171</v>
      </c>
      <c r="B2397" s="388" t="s">
        <v>174</v>
      </c>
      <c r="C2397" s="388"/>
      <c r="D2397" s="388"/>
      <c r="E2397" s="6"/>
      <c r="F2397" s="58">
        <v>1</v>
      </c>
    </row>
    <row r="2398" spans="1:6" ht="24" customHeight="1" x14ac:dyDescent="0.2">
      <c r="A2398" s="59" t="s">
        <v>291</v>
      </c>
      <c r="B2398" s="387" t="s">
        <v>176</v>
      </c>
      <c r="C2398" s="387"/>
      <c r="D2398" s="387"/>
      <c r="E2398" s="7" t="s">
        <v>13</v>
      </c>
      <c r="F2398" s="60">
        <f>D2405</f>
        <v>3098.3599999999997</v>
      </c>
    </row>
    <row r="2399" spans="1:6" s="1" customFormat="1" ht="15" x14ac:dyDescent="0.2">
      <c r="A2399" s="19"/>
      <c r="B2399" s="50"/>
      <c r="C2399" s="50"/>
      <c r="D2399" s="50"/>
      <c r="E2399" s="50"/>
      <c r="F2399" s="20"/>
    </row>
    <row r="2400" spans="1:6" s="1" customFormat="1" ht="15" x14ac:dyDescent="0.2">
      <c r="A2400" s="21" t="s">
        <v>1019</v>
      </c>
      <c r="B2400" s="2" t="s">
        <v>334</v>
      </c>
      <c r="C2400" s="2" t="s">
        <v>1020</v>
      </c>
      <c r="D2400" s="2" t="s">
        <v>195</v>
      </c>
      <c r="E2400" s="43"/>
      <c r="F2400" s="35"/>
    </row>
    <row r="2401" spans="1:6" s="1" customFormat="1" ht="15" x14ac:dyDescent="0.2">
      <c r="A2401" s="22" t="s">
        <v>1068</v>
      </c>
      <c r="B2401" s="3">
        <v>843.72</v>
      </c>
      <c r="C2401" s="23">
        <v>97.43</v>
      </c>
      <c r="D2401" s="23">
        <f>B2401-C2401</f>
        <v>746.29</v>
      </c>
      <c r="E2401" s="45"/>
      <c r="F2401" s="34"/>
    </row>
    <row r="2402" spans="1:6" s="1" customFormat="1" ht="38.25" customHeight="1" x14ac:dyDescent="0.2">
      <c r="A2402" s="22" t="s">
        <v>1021</v>
      </c>
      <c r="B2402" s="3">
        <v>791.41</v>
      </c>
      <c r="C2402" s="23">
        <v>55.85</v>
      </c>
      <c r="D2402" s="23">
        <f t="shared" ref="D2402:D2404" si="57">B2402-C2402</f>
        <v>735.56</v>
      </c>
      <c r="E2402" s="457" t="s">
        <v>1023</v>
      </c>
      <c r="F2402" s="458"/>
    </row>
    <row r="2403" spans="1:6" s="1" customFormat="1" ht="15" x14ac:dyDescent="0.2">
      <c r="A2403" s="22" t="s">
        <v>1022</v>
      </c>
      <c r="B2403" s="3">
        <f>(590.87+43.04+416.05+75.07)-4.75-17.4</f>
        <v>1102.8799999999999</v>
      </c>
      <c r="C2403" s="23">
        <f>2.32+2.32+3.87*5+2.78+1.9*4+2.9*2+0.97+4.84+2.34+1.8+0.45+0.64+5.47+6.84*3+1.33*2+35.28+22.69+1.66*3+3.96+1.36*4+0.64*8</f>
        <v>157.33000000000001</v>
      </c>
      <c r="D2403" s="23">
        <f t="shared" si="57"/>
        <v>945.54999999999984</v>
      </c>
      <c r="E2403" s="45"/>
      <c r="F2403" s="34"/>
    </row>
    <row r="2404" spans="1:6" s="1" customFormat="1" ht="15" x14ac:dyDescent="0.2">
      <c r="A2404" s="22" t="s">
        <v>1069</v>
      </c>
      <c r="B2404" s="3">
        <f>8.88+63.45+31.88+139.58+267.7+3.98+72.45+5.32+3.1+72.45+50.91</f>
        <v>719.70000000000016</v>
      </c>
      <c r="C2404" s="23">
        <f>1.16+4.77*8+0.38+2.9*2+1.62*2</f>
        <v>48.739999999999995</v>
      </c>
      <c r="D2404" s="23">
        <f t="shared" si="57"/>
        <v>670.96000000000015</v>
      </c>
      <c r="E2404" s="44"/>
      <c r="F2404" s="34"/>
    </row>
    <row r="2405" spans="1:6" s="1" customFormat="1" ht="15" x14ac:dyDescent="0.2">
      <c r="A2405" s="355" t="s">
        <v>227</v>
      </c>
      <c r="B2405" s="350"/>
      <c r="C2405" s="350"/>
      <c r="D2405" s="2">
        <f>SUM(D2401:D2404)</f>
        <v>3098.3599999999997</v>
      </c>
      <c r="E2405" s="43"/>
      <c r="F2405" s="34"/>
    </row>
    <row r="2406" spans="1:6" s="1" customFormat="1" ht="15" x14ac:dyDescent="0.2">
      <c r="A2406" s="19"/>
      <c r="B2406" s="50"/>
      <c r="C2406" s="50"/>
      <c r="D2406" s="50"/>
      <c r="E2406" s="50"/>
      <c r="F2406" s="20"/>
    </row>
    <row r="2407" spans="1:6" ht="26.1" customHeight="1" x14ac:dyDescent="0.2">
      <c r="A2407" s="59" t="s">
        <v>292</v>
      </c>
      <c r="B2407" s="387" t="s">
        <v>156</v>
      </c>
      <c r="C2407" s="387"/>
      <c r="D2407" s="387"/>
      <c r="E2407" s="7" t="s">
        <v>13</v>
      </c>
      <c r="F2407" s="60">
        <f>D2414</f>
        <v>3098.3599999999997</v>
      </c>
    </row>
    <row r="2408" spans="1:6" s="1" customFormat="1" ht="15" x14ac:dyDescent="0.2">
      <c r="A2408" s="19"/>
      <c r="B2408" s="50"/>
      <c r="C2408" s="50"/>
      <c r="D2408" s="50"/>
      <c r="E2408" s="50"/>
      <c r="F2408" s="20"/>
    </row>
    <row r="2409" spans="1:6" s="1" customFormat="1" ht="15" x14ac:dyDescent="0.2">
      <c r="A2409" s="21" t="s">
        <v>1019</v>
      </c>
      <c r="B2409" s="2" t="s">
        <v>334</v>
      </c>
      <c r="C2409" s="2" t="s">
        <v>1020</v>
      </c>
      <c r="D2409" s="2" t="s">
        <v>195</v>
      </c>
      <c r="E2409" s="43"/>
      <c r="F2409" s="35"/>
    </row>
    <row r="2410" spans="1:6" s="1" customFormat="1" ht="15" x14ac:dyDescent="0.2">
      <c r="A2410" s="22" t="s">
        <v>1068</v>
      </c>
      <c r="B2410" s="3">
        <v>843.72</v>
      </c>
      <c r="C2410" s="23">
        <v>97.43</v>
      </c>
      <c r="D2410" s="23">
        <f>B2410-C2410</f>
        <v>746.29</v>
      </c>
      <c r="E2410" s="45"/>
      <c r="F2410" s="34"/>
    </row>
    <row r="2411" spans="1:6" s="1" customFormat="1" ht="38.25" customHeight="1" x14ac:dyDescent="0.2">
      <c r="A2411" s="22" t="s">
        <v>1021</v>
      </c>
      <c r="B2411" s="3">
        <v>791.41</v>
      </c>
      <c r="C2411" s="23">
        <v>55.85</v>
      </c>
      <c r="D2411" s="23">
        <f t="shared" ref="D2411:D2413" si="58">B2411-C2411</f>
        <v>735.56</v>
      </c>
      <c r="E2411" s="457" t="s">
        <v>1023</v>
      </c>
      <c r="F2411" s="458"/>
    </row>
    <row r="2412" spans="1:6" s="1" customFormat="1" ht="15" x14ac:dyDescent="0.2">
      <c r="A2412" s="22" t="s">
        <v>1022</v>
      </c>
      <c r="B2412" s="3">
        <f>(590.87+43.04+416.05+75.07)-4.75-17.4</f>
        <v>1102.8799999999999</v>
      </c>
      <c r="C2412" s="23">
        <f>2.32+2.32+3.87*5+2.78+1.9*4+2.9*2+0.97+4.84+2.34+1.8+0.45+0.64+5.47+6.84*3+1.33*2+35.28+22.69+1.66*3+3.96+1.36*4+0.64*8</f>
        <v>157.33000000000001</v>
      </c>
      <c r="D2412" s="23">
        <f t="shared" si="58"/>
        <v>945.54999999999984</v>
      </c>
      <c r="E2412" s="45"/>
      <c r="F2412" s="34"/>
    </row>
    <row r="2413" spans="1:6" s="1" customFormat="1" ht="15" x14ac:dyDescent="0.2">
      <c r="A2413" s="22" t="s">
        <v>1069</v>
      </c>
      <c r="B2413" s="3">
        <f>8.88+63.45+31.88+139.58+267.7+3.98+72.45+5.32+3.1+72.45+50.91</f>
        <v>719.70000000000016</v>
      </c>
      <c r="C2413" s="23">
        <f>1.16+4.77*8+0.38+2.9*2+1.62*2</f>
        <v>48.739999999999995</v>
      </c>
      <c r="D2413" s="23">
        <f t="shared" si="58"/>
        <v>670.96000000000015</v>
      </c>
      <c r="E2413" s="44"/>
      <c r="F2413" s="34"/>
    </row>
    <row r="2414" spans="1:6" s="1" customFormat="1" ht="15" x14ac:dyDescent="0.2">
      <c r="A2414" s="355" t="s">
        <v>227</v>
      </c>
      <c r="B2414" s="350"/>
      <c r="C2414" s="350"/>
      <c r="D2414" s="2">
        <f>SUM(D2410:D2413)</f>
        <v>3098.3599999999997</v>
      </c>
      <c r="E2414" s="43"/>
      <c r="F2414" s="34"/>
    </row>
    <row r="2415" spans="1:6" s="1" customFormat="1" ht="15" x14ac:dyDescent="0.2">
      <c r="A2415" s="19"/>
      <c r="B2415" s="50"/>
      <c r="C2415" s="50"/>
      <c r="D2415" s="50"/>
      <c r="E2415" s="50"/>
      <c r="F2415" s="20"/>
    </row>
    <row r="2416" spans="1:6" ht="39" customHeight="1" x14ac:dyDescent="0.2">
      <c r="A2416" s="59" t="s">
        <v>293</v>
      </c>
      <c r="B2416" s="387" t="s">
        <v>179</v>
      </c>
      <c r="C2416" s="387"/>
      <c r="D2416" s="387"/>
      <c r="E2416" s="7" t="s">
        <v>13</v>
      </c>
      <c r="F2416" s="60">
        <f>B2423</f>
        <v>600.5</v>
      </c>
    </row>
    <row r="2417" spans="1:6" s="1" customFormat="1" ht="15" x14ac:dyDescent="0.2">
      <c r="A2417" s="19"/>
      <c r="B2417" s="50"/>
      <c r="C2417" s="50"/>
      <c r="D2417" s="50"/>
      <c r="E2417" s="50"/>
      <c r="F2417" s="20"/>
    </row>
    <row r="2418" spans="1:6" s="1" customFormat="1" ht="15" x14ac:dyDescent="0.2">
      <c r="A2418" s="21" t="s">
        <v>1019</v>
      </c>
      <c r="B2418" s="2" t="s">
        <v>334</v>
      </c>
      <c r="C2418" s="47"/>
      <c r="D2418" s="47"/>
      <c r="E2418" s="43"/>
      <c r="F2418" s="35"/>
    </row>
    <row r="2419" spans="1:6" s="1" customFormat="1" ht="15" x14ac:dyDescent="0.2">
      <c r="A2419" s="22" t="s">
        <v>1068</v>
      </c>
      <c r="B2419" s="3">
        <v>176.79</v>
      </c>
      <c r="C2419" s="45"/>
      <c r="D2419" s="462" t="s">
        <v>1023</v>
      </c>
      <c r="E2419" s="462"/>
      <c r="F2419" s="34"/>
    </row>
    <row r="2420" spans="1:6" s="1" customFormat="1" ht="15" x14ac:dyDescent="0.2">
      <c r="A2420" s="22" t="s">
        <v>1021</v>
      </c>
      <c r="B2420" s="3">
        <v>101.58</v>
      </c>
      <c r="C2420" s="45"/>
      <c r="D2420" s="462"/>
      <c r="E2420" s="462"/>
      <c r="F2420" s="34"/>
    </row>
    <row r="2421" spans="1:6" s="1" customFormat="1" ht="15" x14ac:dyDescent="0.2">
      <c r="A2421" s="22" t="s">
        <v>1022</v>
      </c>
      <c r="B2421" s="3">
        <f>95.53+4.1*2+41.4+15.83*2</f>
        <v>176.79</v>
      </c>
      <c r="C2421" s="45"/>
      <c r="D2421" s="45"/>
      <c r="E2421" s="45"/>
      <c r="F2421" s="34"/>
    </row>
    <row r="2422" spans="1:6" s="1" customFormat="1" ht="15" x14ac:dyDescent="0.2">
      <c r="A2422" s="22" t="s">
        <v>1069</v>
      </c>
      <c r="B2422" s="3">
        <f>22.8+86.08+30.61+5.85</f>
        <v>145.34</v>
      </c>
      <c r="C2422" s="45"/>
      <c r="D2422" s="45"/>
      <c r="E2422" s="44"/>
      <c r="F2422" s="34"/>
    </row>
    <row r="2423" spans="1:6" s="1" customFormat="1" ht="15" x14ac:dyDescent="0.2">
      <c r="A2423" s="21" t="s">
        <v>227</v>
      </c>
      <c r="B2423" s="2">
        <f>SUM(B2419:B2422)</f>
        <v>600.5</v>
      </c>
      <c r="C2423" s="46"/>
      <c r="D2423" s="43"/>
      <c r="E2423" s="43"/>
      <c r="F2423" s="34"/>
    </row>
    <row r="2424" spans="1:6" s="1" customFormat="1" ht="15" x14ac:dyDescent="0.2">
      <c r="A2424" s="19"/>
      <c r="B2424" s="50"/>
      <c r="C2424" s="50"/>
      <c r="D2424" s="50"/>
      <c r="E2424" s="50"/>
      <c r="F2424" s="20"/>
    </row>
    <row r="2425" spans="1:6" ht="24" customHeight="1" x14ac:dyDescent="0.2">
      <c r="A2425" s="81" t="s">
        <v>173</v>
      </c>
      <c r="B2425" s="349" t="s">
        <v>902</v>
      </c>
      <c r="C2425" s="349"/>
      <c r="D2425" s="349"/>
      <c r="E2425" s="54"/>
      <c r="F2425" s="132">
        <v>1</v>
      </c>
    </row>
    <row r="2426" spans="1:6" ht="24" customHeight="1" x14ac:dyDescent="0.2">
      <c r="A2426" s="81" t="s">
        <v>175</v>
      </c>
      <c r="B2426" s="349" t="s">
        <v>25</v>
      </c>
      <c r="C2426" s="349"/>
      <c r="D2426" s="349"/>
      <c r="E2426" s="54"/>
      <c r="F2426" s="132">
        <v>1</v>
      </c>
    </row>
    <row r="2427" spans="1:6" ht="24" customHeight="1" x14ac:dyDescent="0.2">
      <c r="A2427" s="80" t="s">
        <v>901</v>
      </c>
      <c r="B2427" s="348" t="s">
        <v>121</v>
      </c>
      <c r="C2427" s="348"/>
      <c r="D2427" s="348"/>
      <c r="E2427" s="25" t="s">
        <v>122</v>
      </c>
      <c r="F2427" s="93">
        <f>D2431</f>
        <v>24</v>
      </c>
    </row>
    <row r="2428" spans="1:6" s="1" customFormat="1" ht="15" x14ac:dyDescent="0.2">
      <c r="A2428" s="19"/>
      <c r="B2428" s="50"/>
      <c r="C2428" s="50"/>
      <c r="D2428" s="50"/>
      <c r="E2428" s="50"/>
      <c r="F2428" s="61"/>
    </row>
    <row r="2429" spans="1:6" s="1" customFormat="1" ht="15" x14ac:dyDescent="0.2">
      <c r="A2429" s="21" t="s">
        <v>186</v>
      </c>
      <c r="B2429" s="2" t="s">
        <v>189</v>
      </c>
      <c r="C2429" s="2" t="s">
        <v>295</v>
      </c>
      <c r="D2429" s="2" t="s">
        <v>313</v>
      </c>
      <c r="E2429" s="43"/>
      <c r="F2429" s="33"/>
    </row>
    <row r="2430" spans="1:6" s="1" customFormat="1" ht="30" customHeight="1" x14ac:dyDescent="0.2">
      <c r="A2430" s="22" t="s">
        <v>797</v>
      </c>
      <c r="B2430" s="3">
        <v>3</v>
      </c>
      <c r="C2430" s="5">
        <v>8</v>
      </c>
      <c r="D2430" s="5">
        <f>B2430*C2430</f>
        <v>24</v>
      </c>
      <c r="E2430" s="45"/>
      <c r="F2430" s="34"/>
    </row>
    <row r="2431" spans="1:6" s="1" customFormat="1" ht="15" x14ac:dyDescent="0.2">
      <c r="A2431" s="355" t="s">
        <v>313</v>
      </c>
      <c r="B2431" s="350"/>
      <c r="C2431" s="350"/>
      <c r="D2431" s="2">
        <f>SUM(D2430:D2430)</f>
        <v>24</v>
      </c>
      <c r="E2431" s="43"/>
      <c r="F2431" s="35"/>
    </row>
    <row r="2432" spans="1:6" s="1" customFormat="1" ht="15" x14ac:dyDescent="0.2">
      <c r="A2432" s="19"/>
      <c r="B2432" s="50"/>
      <c r="C2432" s="50"/>
      <c r="D2432" s="50"/>
      <c r="E2432" s="50"/>
      <c r="F2432" s="61"/>
    </row>
    <row r="2433" spans="1:6" ht="26.1" customHeight="1" x14ac:dyDescent="0.2">
      <c r="A2433" s="80" t="s">
        <v>900</v>
      </c>
      <c r="B2433" s="348" t="s">
        <v>120</v>
      </c>
      <c r="C2433" s="348"/>
      <c r="D2433" s="348"/>
      <c r="E2433" s="25" t="s">
        <v>13</v>
      </c>
      <c r="F2433" s="93">
        <f>D2436</f>
        <v>31.679999999999996</v>
      </c>
    </row>
    <row r="2434" spans="1:6" s="1" customFormat="1" ht="15" x14ac:dyDescent="0.2">
      <c r="A2434" s="19"/>
      <c r="B2434" s="50"/>
      <c r="C2434" s="50"/>
      <c r="D2434" s="50"/>
      <c r="E2434" s="50"/>
      <c r="F2434" s="61"/>
    </row>
    <row r="2435" spans="1:6" s="1" customFormat="1" ht="15" x14ac:dyDescent="0.2">
      <c r="A2435" s="21" t="s">
        <v>186</v>
      </c>
      <c r="B2435" s="2" t="s">
        <v>187</v>
      </c>
      <c r="C2435" s="2" t="s">
        <v>434</v>
      </c>
      <c r="D2435" s="2" t="s">
        <v>195</v>
      </c>
      <c r="E2435" s="43"/>
      <c r="F2435" s="33"/>
    </row>
    <row r="2436" spans="1:6" s="1" customFormat="1" ht="30" customHeight="1" x14ac:dyDescent="0.2">
      <c r="A2436" s="22" t="s">
        <v>902</v>
      </c>
      <c r="B2436" s="3">
        <v>3.2</v>
      </c>
      <c r="C2436" s="5">
        <f>3.3*3</f>
        <v>9.8999999999999986</v>
      </c>
      <c r="D2436" s="4">
        <f>B2436*C2436</f>
        <v>31.679999999999996</v>
      </c>
      <c r="E2436" s="45"/>
      <c r="F2436" s="34"/>
    </row>
    <row r="2437" spans="1:6" s="1" customFormat="1" ht="15" x14ac:dyDescent="0.2">
      <c r="A2437" s="19"/>
      <c r="B2437" s="50"/>
      <c r="C2437" s="50"/>
      <c r="D2437" s="50"/>
      <c r="E2437" s="50"/>
      <c r="F2437" s="61"/>
    </row>
    <row r="2438" spans="1:6" ht="39" customHeight="1" x14ac:dyDescent="0.2">
      <c r="A2438" s="80" t="s">
        <v>899</v>
      </c>
      <c r="B2438" s="348" t="s">
        <v>898</v>
      </c>
      <c r="C2438" s="348"/>
      <c r="D2438" s="348"/>
      <c r="E2438" s="25" t="s">
        <v>13</v>
      </c>
      <c r="F2438" s="93">
        <f>D2441</f>
        <v>31.679999999999996</v>
      </c>
    </row>
    <row r="2439" spans="1:6" s="1" customFormat="1" ht="15" x14ac:dyDescent="0.2">
      <c r="A2439" s="19"/>
      <c r="B2439" s="50"/>
      <c r="C2439" s="50"/>
      <c r="D2439" s="50"/>
      <c r="E2439" s="50"/>
      <c r="F2439" s="61"/>
    </row>
    <row r="2440" spans="1:6" s="1" customFormat="1" ht="15" x14ac:dyDescent="0.2">
      <c r="A2440" s="21" t="s">
        <v>186</v>
      </c>
      <c r="B2440" s="2" t="s">
        <v>187</v>
      </c>
      <c r="C2440" s="2" t="s">
        <v>434</v>
      </c>
      <c r="D2440" s="2" t="s">
        <v>195</v>
      </c>
      <c r="E2440" s="43"/>
      <c r="F2440" s="33"/>
    </row>
    <row r="2441" spans="1:6" s="1" customFormat="1" ht="30" customHeight="1" x14ac:dyDescent="0.2">
      <c r="A2441" s="22" t="s">
        <v>902</v>
      </c>
      <c r="B2441" s="3">
        <v>3.2</v>
      </c>
      <c r="C2441" s="5">
        <f>3.3*3</f>
        <v>9.8999999999999986</v>
      </c>
      <c r="D2441" s="4">
        <f>B2441*C2441</f>
        <v>31.679999999999996</v>
      </c>
      <c r="E2441" s="45"/>
      <c r="F2441" s="34"/>
    </row>
    <row r="2442" spans="1:6" s="1" customFormat="1" ht="15" x14ac:dyDescent="0.2">
      <c r="A2442" s="19"/>
      <c r="B2442" s="50"/>
      <c r="C2442" s="50"/>
      <c r="D2442" s="50"/>
      <c r="E2442" s="50"/>
      <c r="F2442" s="61"/>
    </row>
    <row r="2443" spans="1:6" ht="24" customHeight="1" x14ac:dyDescent="0.2">
      <c r="A2443" s="81" t="s">
        <v>177</v>
      </c>
      <c r="B2443" s="349" t="s">
        <v>124</v>
      </c>
      <c r="C2443" s="349"/>
      <c r="D2443" s="349"/>
      <c r="E2443" s="54"/>
      <c r="F2443" s="132">
        <v>1</v>
      </c>
    </row>
    <row r="2444" spans="1:6" ht="26.1" customHeight="1" x14ac:dyDescent="0.2">
      <c r="A2444" s="80" t="s">
        <v>897</v>
      </c>
      <c r="B2444" s="348" t="s">
        <v>450</v>
      </c>
      <c r="C2444" s="348"/>
      <c r="D2444" s="348"/>
      <c r="E2444" s="25" t="s">
        <v>19</v>
      </c>
      <c r="F2444" s="93">
        <f>F2447</f>
        <v>5.3999999999999999E-2</v>
      </c>
    </row>
    <row r="2445" spans="1:6" s="1" customFormat="1" ht="15" x14ac:dyDescent="0.2">
      <c r="A2445" s="19"/>
      <c r="B2445" s="50"/>
      <c r="C2445" s="50"/>
      <c r="D2445" s="50"/>
      <c r="E2445" s="50"/>
      <c r="F2445" s="61"/>
    </row>
    <row r="2446" spans="1:6" s="1" customFormat="1" ht="15" x14ac:dyDescent="0.2">
      <c r="A2446" s="21" t="s">
        <v>186</v>
      </c>
      <c r="B2446" s="2" t="s">
        <v>187</v>
      </c>
      <c r="C2446" s="2" t="s">
        <v>188</v>
      </c>
      <c r="D2446" s="2" t="s">
        <v>361</v>
      </c>
      <c r="E2446" s="2" t="s">
        <v>295</v>
      </c>
      <c r="F2446" s="28" t="s">
        <v>240</v>
      </c>
    </row>
    <row r="2447" spans="1:6" s="1" customFormat="1" ht="15" customHeight="1" x14ac:dyDescent="0.2">
      <c r="A2447" s="22" t="s">
        <v>797</v>
      </c>
      <c r="B2447" s="3">
        <v>0.15</v>
      </c>
      <c r="C2447" s="3">
        <v>0.15</v>
      </c>
      <c r="D2447" s="3">
        <v>0.3</v>
      </c>
      <c r="E2447" s="5">
        <v>8</v>
      </c>
      <c r="F2447" s="31">
        <f>B2447*C2447*D2447*E2447</f>
        <v>5.3999999999999999E-2</v>
      </c>
    </row>
    <row r="2448" spans="1:6" s="1" customFormat="1" ht="15" x14ac:dyDescent="0.2">
      <c r="A2448" s="19"/>
      <c r="B2448" s="50"/>
      <c r="C2448" s="50"/>
      <c r="D2448" s="50"/>
      <c r="E2448" s="50"/>
      <c r="F2448" s="61"/>
    </row>
    <row r="2449" spans="1:6" ht="24" customHeight="1" x14ac:dyDescent="0.2">
      <c r="A2449" s="80" t="s">
        <v>896</v>
      </c>
      <c r="B2449" s="348" t="s">
        <v>606</v>
      </c>
      <c r="C2449" s="348"/>
      <c r="D2449" s="348"/>
      <c r="E2449" s="25" t="s">
        <v>19</v>
      </c>
      <c r="F2449" s="93">
        <f>F2452</f>
        <v>5.3999999999999999E-2</v>
      </c>
    </row>
    <row r="2450" spans="1:6" s="1" customFormat="1" ht="15" x14ac:dyDescent="0.2">
      <c r="A2450" s="19"/>
      <c r="B2450" s="50"/>
      <c r="C2450" s="50"/>
      <c r="D2450" s="50"/>
      <c r="E2450" s="50"/>
      <c r="F2450" s="61"/>
    </row>
    <row r="2451" spans="1:6" s="1" customFormat="1" ht="15" x14ac:dyDescent="0.2">
      <c r="A2451" s="21" t="s">
        <v>186</v>
      </c>
      <c r="B2451" s="2" t="s">
        <v>187</v>
      </c>
      <c r="C2451" s="2" t="s">
        <v>188</v>
      </c>
      <c r="D2451" s="2" t="s">
        <v>361</v>
      </c>
      <c r="E2451" s="2" t="s">
        <v>295</v>
      </c>
      <c r="F2451" s="28" t="s">
        <v>240</v>
      </c>
    </row>
    <row r="2452" spans="1:6" s="1" customFormat="1" ht="15" customHeight="1" x14ac:dyDescent="0.2">
      <c r="A2452" s="22" t="s">
        <v>797</v>
      </c>
      <c r="B2452" s="3">
        <v>0.15</v>
      </c>
      <c r="C2452" s="3">
        <v>0.15</v>
      </c>
      <c r="D2452" s="3">
        <v>0.3</v>
      </c>
      <c r="E2452" s="5">
        <v>8</v>
      </c>
      <c r="F2452" s="31">
        <f>B2452*C2452*D2452*E2452</f>
        <v>5.3999999999999999E-2</v>
      </c>
    </row>
    <row r="2453" spans="1:6" s="1" customFormat="1" ht="15" x14ac:dyDescent="0.2">
      <c r="A2453" s="19"/>
      <c r="B2453" s="50"/>
      <c r="C2453" s="50"/>
      <c r="D2453" s="50"/>
      <c r="E2453" s="50"/>
      <c r="F2453" s="61"/>
    </row>
    <row r="2454" spans="1:6" ht="24" customHeight="1" x14ac:dyDescent="0.2">
      <c r="A2454" s="81" t="s">
        <v>178</v>
      </c>
      <c r="B2454" s="349" t="s">
        <v>126</v>
      </c>
      <c r="C2454" s="349"/>
      <c r="D2454" s="349"/>
      <c r="E2454" s="54"/>
      <c r="F2454" s="132">
        <v>1</v>
      </c>
    </row>
    <row r="2455" spans="1:6" ht="51.95" customHeight="1" x14ac:dyDescent="0.2">
      <c r="A2455" s="80" t="s">
        <v>895</v>
      </c>
      <c r="B2455" s="348" t="s">
        <v>396</v>
      </c>
      <c r="C2455" s="348"/>
      <c r="D2455" s="348"/>
      <c r="E2455" s="25" t="s">
        <v>386</v>
      </c>
      <c r="F2455" s="93">
        <f>F2458</f>
        <v>133.16800000000001</v>
      </c>
    </row>
    <row r="2456" spans="1:6" s="1" customFormat="1" ht="15" x14ac:dyDescent="0.2">
      <c r="A2456" s="19"/>
      <c r="B2456" s="50"/>
      <c r="C2456" s="50"/>
      <c r="D2456" s="50"/>
      <c r="E2456" s="50"/>
      <c r="F2456" s="61"/>
    </row>
    <row r="2457" spans="1:6" s="1" customFormat="1" ht="15" x14ac:dyDescent="0.2">
      <c r="A2457" s="21" t="s">
        <v>988</v>
      </c>
      <c r="B2457" s="2" t="s">
        <v>189</v>
      </c>
      <c r="C2457" s="2" t="s">
        <v>295</v>
      </c>
      <c r="D2457" s="2" t="s">
        <v>989</v>
      </c>
      <c r="E2457" s="2" t="s">
        <v>986</v>
      </c>
      <c r="F2457" s="28" t="s">
        <v>990</v>
      </c>
    </row>
    <row r="2458" spans="1:6" s="1" customFormat="1" ht="15" customHeight="1" x14ac:dyDescent="0.2">
      <c r="A2458" s="22" t="s">
        <v>987</v>
      </c>
      <c r="B2458" s="3">
        <v>2.9</v>
      </c>
      <c r="C2458" s="5">
        <v>8</v>
      </c>
      <c r="D2458" s="3">
        <f>B2458*C2458*2</f>
        <v>46.4</v>
      </c>
      <c r="E2458" s="5">
        <v>2.87</v>
      </c>
      <c r="F2458" s="31">
        <f>D2458*E2458</f>
        <v>133.16800000000001</v>
      </c>
    </row>
    <row r="2459" spans="1:6" s="1" customFormat="1" ht="15" x14ac:dyDescent="0.2">
      <c r="A2459" s="19"/>
      <c r="B2459" s="50"/>
      <c r="C2459" s="50"/>
      <c r="D2459" s="50"/>
      <c r="E2459" s="50"/>
      <c r="F2459" s="61"/>
    </row>
    <row r="2460" spans="1:6" ht="51.95" customHeight="1" x14ac:dyDescent="0.2">
      <c r="A2460" s="80" t="s">
        <v>894</v>
      </c>
      <c r="B2460" s="348" t="s">
        <v>893</v>
      </c>
      <c r="C2460" s="348"/>
      <c r="D2460" s="348"/>
      <c r="E2460" s="25" t="s">
        <v>122</v>
      </c>
      <c r="F2460" s="93">
        <f>D2463</f>
        <v>26.199999999999996</v>
      </c>
    </row>
    <row r="2461" spans="1:6" s="1" customFormat="1" ht="15" x14ac:dyDescent="0.2">
      <c r="A2461" s="19"/>
      <c r="B2461" s="50"/>
      <c r="C2461" s="50"/>
      <c r="D2461" s="50"/>
      <c r="E2461" s="50"/>
      <c r="F2461" s="61"/>
    </row>
    <row r="2462" spans="1:6" s="1" customFormat="1" ht="15" x14ac:dyDescent="0.2">
      <c r="A2462" s="21" t="s">
        <v>394</v>
      </c>
      <c r="B2462" s="2" t="s">
        <v>346</v>
      </c>
      <c r="C2462" s="2" t="s">
        <v>347</v>
      </c>
      <c r="D2462" s="2" t="s">
        <v>312</v>
      </c>
      <c r="E2462" s="43"/>
      <c r="F2462" s="33"/>
    </row>
    <row r="2463" spans="1:6" s="1" customFormat="1" ht="15" customHeight="1" x14ac:dyDescent="0.2">
      <c r="A2463" s="22" t="s">
        <v>991</v>
      </c>
      <c r="B2463" s="3">
        <f>3.3*3</f>
        <v>9.8999999999999986</v>
      </c>
      <c r="C2463" s="5">
        <v>3.2</v>
      </c>
      <c r="D2463" s="2">
        <f>(B2463+C2463)*2</f>
        <v>26.199999999999996</v>
      </c>
      <c r="E2463" s="45"/>
      <c r="F2463" s="34"/>
    </row>
    <row r="2464" spans="1:6" s="1" customFormat="1" ht="15" x14ac:dyDescent="0.2">
      <c r="A2464" s="19"/>
      <c r="B2464" s="50"/>
      <c r="C2464" s="50"/>
      <c r="D2464" s="50"/>
      <c r="E2464" s="50"/>
      <c r="F2464" s="61"/>
    </row>
    <row r="2465" spans="1:6" ht="51.95" customHeight="1" x14ac:dyDescent="0.2">
      <c r="A2465" s="80" t="s">
        <v>892</v>
      </c>
      <c r="B2465" s="348" t="s">
        <v>891</v>
      </c>
      <c r="C2465" s="348"/>
      <c r="D2465" s="348"/>
      <c r="E2465" s="25" t="s">
        <v>13</v>
      </c>
      <c r="F2465" s="93">
        <f>D2468</f>
        <v>31.679999999999996</v>
      </c>
    </row>
    <row r="2466" spans="1:6" s="1" customFormat="1" ht="15" x14ac:dyDescent="0.2">
      <c r="A2466" s="19"/>
      <c r="B2466" s="50"/>
      <c r="C2466" s="50"/>
      <c r="D2466" s="50"/>
      <c r="E2466" s="50"/>
      <c r="F2466" s="61"/>
    </row>
    <row r="2467" spans="1:6" s="1" customFormat="1" ht="15" x14ac:dyDescent="0.2">
      <c r="A2467" s="21" t="s">
        <v>992</v>
      </c>
      <c r="B2467" s="2" t="s">
        <v>346</v>
      </c>
      <c r="C2467" s="2" t="s">
        <v>347</v>
      </c>
      <c r="D2467" s="2" t="s">
        <v>334</v>
      </c>
      <c r="E2467" s="43"/>
      <c r="F2467" s="33"/>
    </row>
    <row r="2468" spans="1:6" s="1" customFormat="1" ht="15" customHeight="1" x14ac:dyDescent="0.2">
      <c r="A2468" s="22" t="s">
        <v>991</v>
      </c>
      <c r="B2468" s="3">
        <f>3.3*3</f>
        <v>9.8999999999999986</v>
      </c>
      <c r="C2468" s="5">
        <v>3.2</v>
      </c>
      <c r="D2468" s="2">
        <f>B2468*C2468</f>
        <v>31.679999999999996</v>
      </c>
      <c r="E2468" s="45"/>
      <c r="F2468" s="34"/>
    </row>
    <row r="2469" spans="1:6" s="1" customFormat="1" ht="15" x14ac:dyDescent="0.2">
      <c r="A2469" s="19"/>
      <c r="B2469" s="50"/>
      <c r="C2469" s="50"/>
      <c r="D2469" s="50"/>
      <c r="E2469" s="50"/>
      <c r="F2469" s="61"/>
    </row>
    <row r="2470" spans="1:6" ht="26.1" customHeight="1" x14ac:dyDescent="0.2">
      <c r="A2470" s="80" t="s">
        <v>890</v>
      </c>
      <c r="B2470" s="348" t="s">
        <v>889</v>
      </c>
      <c r="C2470" s="348"/>
      <c r="D2470" s="348"/>
      <c r="E2470" s="25" t="s">
        <v>13</v>
      </c>
      <c r="F2470" s="93">
        <f>D2473</f>
        <v>31.679999999999996</v>
      </c>
    </row>
    <row r="2471" spans="1:6" s="1" customFormat="1" ht="15" x14ac:dyDescent="0.2">
      <c r="A2471" s="19"/>
      <c r="B2471" s="50"/>
      <c r="C2471" s="50"/>
      <c r="D2471" s="50"/>
      <c r="E2471" s="50"/>
      <c r="F2471" s="61"/>
    </row>
    <row r="2472" spans="1:6" s="1" customFormat="1" ht="15" x14ac:dyDescent="0.2">
      <c r="A2472" s="21" t="s">
        <v>992</v>
      </c>
      <c r="B2472" s="2" t="s">
        <v>346</v>
      </c>
      <c r="C2472" s="2" t="s">
        <v>347</v>
      </c>
      <c r="D2472" s="2" t="s">
        <v>334</v>
      </c>
      <c r="E2472" s="43"/>
      <c r="F2472" s="33"/>
    </row>
    <row r="2473" spans="1:6" s="1" customFormat="1" ht="15" customHeight="1" x14ac:dyDescent="0.2">
      <c r="A2473" s="22" t="s">
        <v>991</v>
      </c>
      <c r="B2473" s="3">
        <f>3.3*3</f>
        <v>9.8999999999999986</v>
      </c>
      <c r="C2473" s="5">
        <v>3.2</v>
      </c>
      <c r="D2473" s="2">
        <f>B2473*C2473</f>
        <v>31.679999999999996</v>
      </c>
      <c r="E2473" s="45"/>
      <c r="F2473" s="34"/>
    </row>
    <row r="2474" spans="1:6" s="1" customFormat="1" ht="15" x14ac:dyDescent="0.2">
      <c r="A2474" s="19"/>
      <c r="B2474" s="50"/>
      <c r="C2474" s="50"/>
      <c r="D2474" s="50"/>
      <c r="E2474" s="50"/>
      <c r="F2474" s="61"/>
    </row>
    <row r="2475" spans="1:6" ht="24" customHeight="1" x14ac:dyDescent="0.2">
      <c r="A2475" s="81" t="s">
        <v>294</v>
      </c>
      <c r="B2475" s="349" t="s">
        <v>610</v>
      </c>
      <c r="C2475" s="349"/>
      <c r="D2475" s="349"/>
      <c r="E2475" s="54"/>
      <c r="F2475" s="132">
        <v>1</v>
      </c>
    </row>
    <row r="2476" spans="1:6" ht="51.95" customHeight="1" x14ac:dyDescent="0.2">
      <c r="A2476" s="80" t="s">
        <v>888</v>
      </c>
      <c r="B2476" s="348" t="s">
        <v>887</v>
      </c>
      <c r="C2476" s="348"/>
      <c r="D2476" s="348"/>
      <c r="E2476" s="25" t="s">
        <v>13</v>
      </c>
      <c r="F2476" s="93">
        <f>D2479</f>
        <v>6.8380000000000001</v>
      </c>
    </row>
    <row r="2477" spans="1:6" s="1" customFormat="1" ht="15" x14ac:dyDescent="0.2">
      <c r="A2477" s="19"/>
      <c r="B2477" s="50"/>
      <c r="C2477" s="50"/>
      <c r="D2477" s="50"/>
      <c r="E2477" s="50"/>
      <c r="F2477" s="61"/>
    </row>
    <row r="2478" spans="1:6" s="1" customFormat="1" ht="15" x14ac:dyDescent="0.2">
      <c r="A2478" s="21" t="s">
        <v>610</v>
      </c>
      <c r="B2478" s="2" t="s">
        <v>312</v>
      </c>
      <c r="C2478" s="2" t="s">
        <v>369</v>
      </c>
      <c r="D2478" s="2" t="s">
        <v>334</v>
      </c>
      <c r="E2478" s="43"/>
      <c r="F2478" s="33"/>
    </row>
    <row r="2479" spans="1:6" s="1" customFormat="1" ht="15" customHeight="1" x14ac:dyDescent="0.2">
      <c r="A2479" s="22" t="s">
        <v>991</v>
      </c>
      <c r="B2479" s="3">
        <f>(3.26+2)*2</f>
        <v>10.52</v>
      </c>
      <c r="C2479" s="5">
        <v>0.65</v>
      </c>
      <c r="D2479" s="2">
        <f>B2479*C2479</f>
        <v>6.8380000000000001</v>
      </c>
      <c r="E2479" s="45"/>
      <c r="F2479" s="34"/>
    </row>
    <row r="2480" spans="1:6" s="1" customFormat="1" ht="15" x14ac:dyDescent="0.2">
      <c r="A2480" s="19"/>
      <c r="B2480" s="50"/>
      <c r="C2480" s="50"/>
      <c r="D2480" s="50"/>
      <c r="E2480" s="50"/>
      <c r="F2480" s="61"/>
    </row>
    <row r="2481" spans="1:6" ht="51.95" customHeight="1" x14ac:dyDescent="0.2">
      <c r="A2481" s="80" t="s">
        <v>886</v>
      </c>
      <c r="B2481" s="348" t="s">
        <v>885</v>
      </c>
      <c r="C2481" s="348"/>
      <c r="D2481" s="348"/>
      <c r="E2481" s="25" t="s">
        <v>13</v>
      </c>
      <c r="F2481" s="93">
        <f>D2484</f>
        <v>13.676</v>
      </c>
    </row>
    <row r="2482" spans="1:6" s="1" customFormat="1" ht="15" x14ac:dyDescent="0.2">
      <c r="A2482" s="19"/>
      <c r="B2482" s="50"/>
      <c r="C2482" s="50"/>
      <c r="D2482" s="50"/>
      <c r="E2482" s="50"/>
      <c r="F2482" s="61"/>
    </row>
    <row r="2483" spans="1:6" s="1" customFormat="1" ht="15" x14ac:dyDescent="0.2">
      <c r="A2483" s="21" t="s">
        <v>610</v>
      </c>
      <c r="B2483" s="2" t="s">
        <v>312</v>
      </c>
      <c r="C2483" s="2" t="s">
        <v>369</v>
      </c>
      <c r="D2483" s="2" t="s">
        <v>836</v>
      </c>
      <c r="E2483" s="43"/>
      <c r="F2483" s="33"/>
    </row>
    <row r="2484" spans="1:6" s="1" customFormat="1" ht="15" customHeight="1" x14ac:dyDescent="0.2">
      <c r="A2484" s="22" t="s">
        <v>991</v>
      </c>
      <c r="B2484" s="3">
        <f>(3.26+2)*2</f>
        <v>10.52</v>
      </c>
      <c r="C2484" s="5">
        <v>0.65</v>
      </c>
      <c r="D2484" s="2">
        <f>B2484*C2484*2</f>
        <v>13.676</v>
      </c>
      <c r="E2484" s="45"/>
      <c r="F2484" s="34"/>
    </row>
    <row r="2485" spans="1:6" s="1" customFormat="1" ht="15" x14ac:dyDescent="0.2">
      <c r="A2485" s="19"/>
      <c r="B2485" s="50"/>
      <c r="C2485" s="50"/>
      <c r="D2485" s="50"/>
      <c r="E2485" s="50"/>
      <c r="F2485" s="61"/>
    </row>
    <row r="2486" spans="1:6" ht="39" customHeight="1" x14ac:dyDescent="0.2">
      <c r="A2486" s="80" t="s">
        <v>884</v>
      </c>
      <c r="B2486" s="348" t="s">
        <v>883</v>
      </c>
      <c r="C2486" s="348"/>
      <c r="D2486" s="348"/>
      <c r="E2486" s="25" t="s">
        <v>13</v>
      </c>
      <c r="F2486" s="93">
        <f>D2489</f>
        <v>13.676</v>
      </c>
    </row>
    <row r="2487" spans="1:6" s="1" customFormat="1" ht="15" x14ac:dyDescent="0.2">
      <c r="A2487" s="19"/>
      <c r="B2487" s="50"/>
      <c r="C2487" s="50"/>
      <c r="D2487" s="50"/>
      <c r="E2487" s="50"/>
      <c r="F2487" s="61"/>
    </row>
    <row r="2488" spans="1:6" s="1" customFormat="1" ht="15" x14ac:dyDescent="0.2">
      <c r="A2488" s="21" t="s">
        <v>610</v>
      </c>
      <c r="B2488" s="2" t="s">
        <v>312</v>
      </c>
      <c r="C2488" s="2" t="s">
        <v>369</v>
      </c>
      <c r="D2488" s="2" t="s">
        <v>836</v>
      </c>
      <c r="E2488" s="43"/>
      <c r="F2488" s="33"/>
    </row>
    <row r="2489" spans="1:6" s="1" customFormat="1" ht="15" customHeight="1" x14ac:dyDescent="0.2">
      <c r="A2489" s="22" t="s">
        <v>991</v>
      </c>
      <c r="B2489" s="3">
        <f>(3.26+2)*2</f>
        <v>10.52</v>
      </c>
      <c r="C2489" s="5">
        <v>0.65</v>
      </c>
      <c r="D2489" s="2">
        <f>B2489*C2489*2</f>
        <v>13.676</v>
      </c>
      <c r="E2489" s="45"/>
      <c r="F2489" s="34"/>
    </row>
    <row r="2490" spans="1:6" s="1" customFormat="1" ht="15" x14ac:dyDescent="0.2">
      <c r="A2490" s="19"/>
      <c r="B2490" s="50"/>
      <c r="C2490" s="50"/>
      <c r="D2490" s="50"/>
      <c r="E2490" s="50"/>
      <c r="F2490" s="61"/>
    </row>
    <row r="2491" spans="1:6" ht="24" customHeight="1" x14ac:dyDescent="0.2">
      <c r="A2491" s="81" t="s">
        <v>882</v>
      </c>
      <c r="B2491" s="349" t="s">
        <v>199</v>
      </c>
      <c r="C2491" s="349"/>
      <c r="D2491" s="349"/>
      <c r="E2491" s="54"/>
      <c r="F2491" s="132">
        <v>1</v>
      </c>
    </row>
    <row r="2492" spans="1:6" ht="26.1" customHeight="1" x14ac:dyDescent="0.2">
      <c r="A2492" s="80" t="s">
        <v>881</v>
      </c>
      <c r="B2492" s="348" t="s">
        <v>880</v>
      </c>
      <c r="C2492" s="348"/>
      <c r="D2492" s="348"/>
      <c r="E2492" s="25" t="s">
        <v>13</v>
      </c>
      <c r="F2492" s="93">
        <f>D2495</f>
        <v>11</v>
      </c>
    </row>
    <row r="2493" spans="1:6" s="1" customFormat="1" ht="15" x14ac:dyDescent="0.2">
      <c r="A2493" s="19"/>
      <c r="B2493" s="50"/>
      <c r="C2493" s="50"/>
      <c r="D2493" s="50"/>
      <c r="E2493" s="50"/>
      <c r="F2493" s="61"/>
    </row>
    <row r="2494" spans="1:6" s="1" customFormat="1" ht="15" x14ac:dyDescent="0.2">
      <c r="A2494" s="21" t="s">
        <v>993</v>
      </c>
      <c r="B2494" s="2" t="s">
        <v>346</v>
      </c>
      <c r="C2494" s="2" t="s">
        <v>347</v>
      </c>
      <c r="D2494" s="2" t="s">
        <v>334</v>
      </c>
      <c r="E2494" s="43"/>
      <c r="F2494" s="33"/>
    </row>
    <row r="2495" spans="1:6" s="1" customFormat="1" ht="15" customHeight="1" x14ac:dyDescent="0.2">
      <c r="A2495" s="22" t="s">
        <v>991</v>
      </c>
      <c r="B2495" s="3">
        <v>5</v>
      </c>
      <c r="C2495" s="5">
        <v>2.2000000000000002</v>
      </c>
      <c r="D2495" s="2">
        <f>B2495*C2495</f>
        <v>11</v>
      </c>
      <c r="E2495" s="45"/>
      <c r="F2495" s="34"/>
    </row>
    <row r="2496" spans="1:6" s="1" customFormat="1" ht="15" x14ac:dyDescent="0.2">
      <c r="A2496" s="19"/>
      <c r="B2496" s="50"/>
      <c r="C2496" s="50"/>
      <c r="D2496" s="50"/>
      <c r="E2496" s="50"/>
      <c r="F2496" s="61"/>
    </row>
    <row r="2497" spans="1:6" ht="39" customHeight="1" x14ac:dyDescent="0.2">
      <c r="A2497" s="80" t="s">
        <v>879</v>
      </c>
      <c r="B2497" s="348" t="s">
        <v>878</v>
      </c>
      <c r="C2497" s="348"/>
      <c r="D2497" s="348"/>
      <c r="E2497" s="25" t="s">
        <v>19</v>
      </c>
      <c r="F2497" s="93">
        <v>0.81</v>
      </c>
    </row>
    <row r="2498" spans="1:6" s="1" customFormat="1" ht="15" x14ac:dyDescent="0.2">
      <c r="A2498" s="19"/>
      <c r="B2498" s="50"/>
      <c r="C2498" s="50"/>
      <c r="D2498" s="50"/>
      <c r="E2498" s="50"/>
      <c r="F2498" s="61"/>
    </row>
    <row r="2499" spans="1:6" s="1" customFormat="1" ht="15" x14ac:dyDescent="0.2">
      <c r="A2499" s="21" t="s">
        <v>199</v>
      </c>
      <c r="B2499" s="2" t="s">
        <v>346</v>
      </c>
      <c r="C2499" s="2" t="s">
        <v>347</v>
      </c>
      <c r="D2499" s="2" t="s">
        <v>334</v>
      </c>
      <c r="E2499" s="2" t="s">
        <v>1426</v>
      </c>
      <c r="F2499" s="2" t="s">
        <v>1425</v>
      </c>
    </row>
    <row r="2500" spans="1:6" s="1" customFormat="1" ht="15" customHeight="1" x14ac:dyDescent="0.2">
      <c r="A2500" s="22" t="s">
        <v>994</v>
      </c>
      <c r="B2500" s="3">
        <v>5</v>
      </c>
      <c r="C2500" s="5">
        <v>2.2000000000000002</v>
      </c>
      <c r="D2500" s="16">
        <f>B2500*C2500</f>
        <v>11</v>
      </c>
      <c r="E2500" s="16">
        <v>0.05</v>
      </c>
      <c r="F2500" s="16">
        <f>D2500*E2500</f>
        <v>0.55000000000000004</v>
      </c>
    </row>
    <row r="2501" spans="1:6" s="1" customFormat="1" ht="15" customHeight="1" x14ac:dyDescent="0.2">
      <c r="A2501" s="22" t="s">
        <v>995</v>
      </c>
      <c r="B2501" s="3">
        <v>1.7</v>
      </c>
      <c r="C2501" s="5">
        <v>3.06</v>
      </c>
      <c r="D2501" s="16">
        <f>B2501*C2501</f>
        <v>5.202</v>
      </c>
      <c r="E2501" s="16">
        <v>0.05</v>
      </c>
      <c r="F2501" s="16">
        <f>D2501*E2501</f>
        <v>0.2601</v>
      </c>
    </row>
    <row r="2502" spans="1:6" s="1" customFormat="1" ht="15" customHeight="1" x14ac:dyDescent="0.2">
      <c r="A2502" s="350" t="s">
        <v>240</v>
      </c>
      <c r="B2502" s="350"/>
      <c r="C2502" s="350"/>
      <c r="D2502" s="350"/>
      <c r="E2502" s="350"/>
      <c r="F2502" s="5">
        <f>SUM(F2500:F2501)</f>
        <v>0.81010000000000004</v>
      </c>
    </row>
    <row r="2503" spans="1:6" s="1" customFormat="1" ht="15" x14ac:dyDescent="0.2">
      <c r="A2503" s="19"/>
      <c r="B2503" s="50"/>
      <c r="C2503" s="50"/>
      <c r="D2503" s="50"/>
      <c r="E2503" s="50"/>
      <c r="F2503" s="61"/>
    </row>
    <row r="2504" spans="1:6" ht="24" customHeight="1" x14ac:dyDescent="0.2">
      <c r="A2504" s="57">
        <v>9</v>
      </c>
      <c r="B2504" s="388" t="s">
        <v>180</v>
      </c>
      <c r="C2504" s="388"/>
      <c r="D2504" s="388"/>
      <c r="E2504" s="6"/>
      <c r="F2504" s="58">
        <v>1</v>
      </c>
    </row>
    <row r="2505" spans="1:6" ht="65.099999999999994" customHeight="1" x14ac:dyDescent="0.2">
      <c r="A2505" s="59" t="s">
        <v>876</v>
      </c>
      <c r="B2505" s="387" t="s">
        <v>181</v>
      </c>
      <c r="C2505" s="387"/>
      <c r="D2505" s="387"/>
      <c r="E2505" s="7" t="s">
        <v>33</v>
      </c>
      <c r="F2505" s="60">
        <v>20</v>
      </c>
    </row>
    <row r="2506" spans="1:6" s="1" customFormat="1" ht="15" x14ac:dyDescent="0.2">
      <c r="A2506" s="356" t="s">
        <v>1000</v>
      </c>
      <c r="B2506" s="357"/>
      <c r="C2506" s="357"/>
      <c r="D2506" s="357"/>
      <c r="E2506" s="357"/>
      <c r="F2506" s="358"/>
    </row>
    <row r="2507" spans="1:6" ht="24" customHeight="1" x14ac:dyDescent="0.2">
      <c r="A2507" s="59" t="s">
        <v>877</v>
      </c>
      <c r="B2507" s="387" t="s">
        <v>182</v>
      </c>
      <c r="C2507" s="387"/>
      <c r="D2507" s="387"/>
      <c r="E2507" s="7" t="s">
        <v>183</v>
      </c>
      <c r="F2507" s="60">
        <v>5</v>
      </c>
    </row>
    <row r="2508" spans="1:6" ht="36.75" customHeight="1" x14ac:dyDescent="0.2">
      <c r="A2508" s="59" t="s">
        <v>876</v>
      </c>
      <c r="B2508" s="387" t="s">
        <v>999</v>
      </c>
      <c r="C2508" s="387"/>
      <c r="D2508" s="387"/>
      <c r="E2508" s="51" t="s">
        <v>766</v>
      </c>
      <c r="F2508" s="60">
        <f>D2511</f>
        <v>240.80699999999996</v>
      </c>
    </row>
    <row r="2509" spans="1:6" s="1" customFormat="1" ht="15" x14ac:dyDescent="0.2">
      <c r="A2509" s="19"/>
      <c r="B2509" s="50"/>
      <c r="C2509" s="50"/>
      <c r="D2509" s="50"/>
      <c r="E2509" s="50"/>
      <c r="F2509" s="61"/>
    </row>
    <row r="2510" spans="1:6" s="1" customFormat="1" ht="15" x14ac:dyDescent="0.2">
      <c r="A2510" s="21" t="s">
        <v>199</v>
      </c>
      <c r="B2510" s="2" t="s">
        <v>997</v>
      </c>
      <c r="C2510" s="2" t="s">
        <v>998</v>
      </c>
      <c r="D2510" s="2" t="s">
        <v>334</v>
      </c>
      <c r="E2510" s="43"/>
      <c r="F2510" s="33"/>
    </row>
    <row r="2511" spans="1:6" s="1" customFormat="1" ht="28.5" customHeight="1" x14ac:dyDescent="0.2">
      <c r="A2511" s="22" t="s">
        <v>996</v>
      </c>
      <c r="B2511" s="16">
        <f>F389+F588</f>
        <v>1605.3799999999999</v>
      </c>
      <c r="C2511" s="52">
        <v>0.15</v>
      </c>
      <c r="D2511" s="16">
        <f>B2511*C2511</f>
        <v>240.80699999999996</v>
      </c>
      <c r="E2511" s="45"/>
      <c r="F2511" s="34"/>
    </row>
    <row r="2512" spans="1:6" s="1" customFormat="1" ht="15" x14ac:dyDescent="0.2">
      <c r="A2512" s="19"/>
      <c r="B2512" s="50"/>
      <c r="C2512" s="50"/>
      <c r="D2512" s="50"/>
      <c r="E2512" s="50"/>
      <c r="F2512" s="61"/>
    </row>
    <row r="2513" spans="1:6" x14ac:dyDescent="0.2">
      <c r="A2513" s="108"/>
      <c r="B2513" s="105"/>
      <c r="C2513" s="106"/>
      <c r="D2513" s="106"/>
      <c r="E2513" s="107"/>
      <c r="F2513" s="109"/>
    </row>
    <row r="2514" spans="1:6" ht="69.95" customHeight="1" x14ac:dyDescent="0.2">
      <c r="A2514" s="454" t="s">
        <v>184</v>
      </c>
      <c r="B2514" s="455"/>
      <c r="C2514" s="455"/>
      <c r="D2514" s="455"/>
      <c r="E2514" s="455"/>
      <c r="F2514" s="456"/>
    </row>
    <row r="2515" spans="1:6" ht="15" thickBot="1" x14ac:dyDescent="0.25">
      <c r="A2515" s="100"/>
      <c r="B2515" s="101"/>
      <c r="C2515" s="102"/>
      <c r="D2515" s="102"/>
      <c r="E2515" s="103"/>
      <c r="F2515" s="104"/>
    </row>
  </sheetData>
  <mergeCells count="876">
    <mergeCell ref="A2514:F2514"/>
    <mergeCell ref="E2411:F2411"/>
    <mergeCell ref="B2384:D2384"/>
    <mergeCell ref="A2385:F2385"/>
    <mergeCell ref="E2:F4"/>
    <mergeCell ref="B2:C3"/>
    <mergeCell ref="B1:C1"/>
    <mergeCell ref="B2508:D2508"/>
    <mergeCell ref="A2506:F2506"/>
    <mergeCell ref="B1073:D1073"/>
    <mergeCell ref="B1075:D1075"/>
    <mergeCell ref="B1076:D1076"/>
    <mergeCell ref="B1077:D1077"/>
    <mergeCell ref="B1078:D1078"/>
    <mergeCell ref="B1079:D1079"/>
    <mergeCell ref="B1080:D1080"/>
    <mergeCell ref="B1081:D1081"/>
    <mergeCell ref="B1082:D1082"/>
    <mergeCell ref="A1074:F1074"/>
    <mergeCell ref="A2405:C2405"/>
    <mergeCell ref="A2414:C2414"/>
    <mergeCell ref="E2402:F2402"/>
    <mergeCell ref="D2419:E2420"/>
    <mergeCell ref="B2475:D2475"/>
    <mergeCell ref="B2476:D2476"/>
    <mergeCell ref="B2481:D2481"/>
    <mergeCell ref="B2486:D2486"/>
    <mergeCell ref="B2491:D2491"/>
    <mergeCell ref="B2492:D2492"/>
    <mergeCell ref="B2497:D2497"/>
    <mergeCell ref="A2431:C2431"/>
    <mergeCell ref="B2438:D2438"/>
    <mergeCell ref="B2443:D2443"/>
    <mergeCell ref="B2444:D2444"/>
    <mergeCell ref="B2449:D2449"/>
    <mergeCell ref="B2454:D2454"/>
    <mergeCell ref="B2455:D2455"/>
    <mergeCell ref="B2460:D2460"/>
    <mergeCell ref="B2465:D2465"/>
    <mergeCell ref="B2470:D2470"/>
    <mergeCell ref="B1768:D1768"/>
    <mergeCell ref="B1769:D1769"/>
    <mergeCell ref="B1770:D1770"/>
    <mergeCell ref="B1466:D1466"/>
    <mergeCell ref="A1762:F1762"/>
    <mergeCell ref="B2425:D2425"/>
    <mergeCell ref="B2426:D2426"/>
    <mergeCell ref="B2427:D2427"/>
    <mergeCell ref="B2433:D2433"/>
    <mergeCell ref="B2389:D2389"/>
    <mergeCell ref="B2391:D2391"/>
    <mergeCell ref="B2393:D2393"/>
    <mergeCell ref="B2395:D2395"/>
    <mergeCell ref="A2390:F2390"/>
    <mergeCell ref="A2392:F2392"/>
    <mergeCell ref="A2394:F2394"/>
    <mergeCell ref="A2396:F2396"/>
    <mergeCell ref="A2375:F2375"/>
    <mergeCell ref="A2377:F2377"/>
    <mergeCell ref="A2379:F2379"/>
    <mergeCell ref="A2381:F2381"/>
    <mergeCell ref="A2383:F2383"/>
    <mergeCell ref="B2386:D2386"/>
    <mergeCell ref="B2387:D2387"/>
    <mergeCell ref="B1463:D1463"/>
    <mergeCell ref="B1464:D1464"/>
    <mergeCell ref="B1465:D1465"/>
    <mergeCell ref="A1440:F1440"/>
    <mergeCell ref="B1763:D1763"/>
    <mergeCell ref="B1764:D1764"/>
    <mergeCell ref="B1765:D1765"/>
    <mergeCell ref="B1766:D1766"/>
    <mergeCell ref="B1767:D1767"/>
    <mergeCell ref="B1454:D1454"/>
    <mergeCell ref="B1455:D1455"/>
    <mergeCell ref="B1456:D1456"/>
    <mergeCell ref="B1457:D1457"/>
    <mergeCell ref="B1458:D1458"/>
    <mergeCell ref="B1459:D1459"/>
    <mergeCell ref="B1460:D1460"/>
    <mergeCell ref="B1461:D1461"/>
    <mergeCell ref="B1462:D1462"/>
    <mergeCell ref="B1445:D1445"/>
    <mergeCell ref="B1446:D1446"/>
    <mergeCell ref="B1447:D1447"/>
    <mergeCell ref="B1448:D1448"/>
    <mergeCell ref="B1449:D1449"/>
    <mergeCell ref="B1450:D1450"/>
    <mergeCell ref="F1040:F1051"/>
    <mergeCell ref="A1053:C1053"/>
    <mergeCell ref="A1055:F1055"/>
    <mergeCell ref="B1451:D1451"/>
    <mergeCell ref="B1452:D1452"/>
    <mergeCell ref="B1453:D1453"/>
    <mergeCell ref="B1069:D1069"/>
    <mergeCell ref="B1070:D1070"/>
    <mergeCell ref="B1071:D1071"/>
    <mergeCell ref="B1072:D1072"/>
    <mergeCell ref="A1064:F1064"/>
    <mergeCell ref="B1441:D1441"/>
    <mergeCell ref="B1442:D1442"/>
    <mergeCell ref="B1443:D1443"/>
    <mergeCell ref="B1444:D1444"/>
    <mergeCell ref="A1382:E1382"/>
    <mergeCell ref="A1389:C1389"/>
    <mergeCell ref="D1394:D1396"/>
    <mergeCell ref="A1395:A1396"/>
    <mergeCell ref="B1403:D1403"/>
    <mergeCell ref="E1353:F1353"/>
    <mergeCell ref="A1354:C1354"/>
    <mergeCell ref="E1361:F1361"/>
    <mergeCell ref="E1362:F1362"/>
    <mergeCell ref="A2388:F2388"/>
    <mergeCell ref="A2300:F2300"/>
    <mergeCell ref="A2302:F2302"/>
    <mergeCell ref="A2304:F2304"/>
    <mergeCell ref="A2306:F2306"/>
    <mergeCell ref="A2308:F2308"/>
    <mergeCell ref="A2310:F2310"/>
    <mergeCell ref="A2312:F2312"/>
    <mergeCell ref="A2314:F2314"/>
    <mergeCell ref="A2316:F2316"/>
    <mergeCell ref="B2339:D2339"/>
    <mergeCell ref="B2345:D2345"/>
    <mergeCell ref="B2352:D2352"/>
    <mergeCell ref="B2301:D2301"/>
    <mergeCell ref="B2303:D2303"/>
    <mergeCell ref="B2305:D2305"/>
    <mergeCell ref="B2307:D2307"/>
    <mergeCell ref="B2309:D2309"/>
    <mergeCell ref="B2311:D2311"/>
    <mergeCell ref="B2313:D2313"/>
    <mergeCell ref="B2315:D2315"/>
    <mergeCell ref="B2317:D2317"/>
    <mergeCell ref="A2318:F2318"/>
    <mergeCell ref="A2320:F2320"/>
    <mergeCell ref="A2248:D2248"/>
    <mergeCell ref="A2255:D2255"/>
    <mergeCell ref="A2265:D2265"/>
    <mergeCell ref="A2258:F2258"/>
    <mergeCell ref="A2272:D2272"/>
    <mergeCell ref="A2278:D2278"/>
    <mergeCell ref="A2282:F2282"/>
    <mergeCell ref="A2284:F2284"/>
    <mergeCell ref="A2286:F2286"/>
    <mergeCell ref="B2250:D2250"/>
    <mergeCell ref="B2251:D2251"/>
    <mergeCell ref="B2257:D2257"/>
    <mergeCell ref="B2259:D2259"/>
    <mergeCell ref="B2260:D2260"/>
    <mergeCell ref="B2267:D2267"/>
    <mergeCell ref="B2274:D2274"/>
    <mergeCell ref="B2280:D2280"/>
    <mergeCell ref="B2281:D2281"/>
    <mergeCell ref="B2283:D2283"/>
    <mergeCell ref="B2285:D2285"/>
    <mergeCell ref="A1590:A1596"/>
    <mergeCell ref="A1597:D1597"/>
    <mergeCell ref="A1599:D1599"/>
    <mergeCell ref="A1602:F1602"/>
    <mergeCell ref="A1604:F1604"/>
    <mergeCell ref="A1606:F1606"/>
    <mergeCell ref="B1736:D1736"/>
    <mergeCell ref="B1743:D1743"/>
    <mergeCell ref="B1685:D1685"/>
    <mergeCell ref="B1690:D1690"/>
    <mergeCell ref="B1691:D1691"/>
    <mergeCell ref="A1616:F1616"/>
    <mergeCell ref="A1618:A1624"/>
    <mergeCell ref="A1625:E1625"/>
    <mergeCell ref="B1674:D1674"/>
    <mergeCell ref="B1680:D1680"/>
    <mergeCell ref="A1734:E1734"/>
    <mergeCell ref="A1741:E1741"/>
    <mergeCell ref="B1613:D1613"/>
    <mergeCell ref="B1615:D1615"/>
    <mergeCell ref="B1634:D1634"/>
    <mergeCell ref="A1748:E1748"/>
    <mergeCell ref="A1608:F1608"/>
    <mergeCell ref="A1610:F1610"/>
    <mergeCell ref="A1612:F1612"/>
    <mergeCell ref="A1614:F1614"/>
    <mergeCell ref="B1729:D1729"/>
    <mergeCell ref="B1715:D1715"/>
    <mergeCell ref="B1722:D1722"/>
    <mergeCell ref="B1723:D1723"/>
    <mergeCell ref="B1728:D1728"/>
    <mergeCell ref="D1694:F1694"/>
    <mergeCell ref="D1699:F1699"/>
    <mergeCell ref="A1713:E1713"/>
    <mergeCell ref="A1720:E1720"/>
    <mergeCell ref="D1725:F1725"/>
    <mergeCell ref="A1626:F1626"/>
    <mergeCell ref="A1629:F1629"/>
    <mergeCell ref="A1631:F1631"/>
    <mergeCell ref="A1633:F1633"/>
    <mergeCell ref="A1635:F1635"/>
    <mergeCell ref="A1637:F1637"/>
    <mergeCell ref="A1649:E1649"/>
    <mergeCell ref="A1655:E1655"/>
    <mergeCell ref="B1611:D1611"/>
    <mergeCell ref="B1750:D1750"/>
    <mergeCell ref="B1751:D1751"/>
    <mergeCell ref="B1756:D1756"/>
    <mergeCell ref="B1761:D1761"/>
    <mergeCell ref="B1502:D1502"/>
    <mergeCell ref="B1468:D1468"/>
    <mergeCell ref="B1535:D1535"/>
    <mergeCell ref="B1568:D1568"/>
    <mergeCell ref="B1601:D1601"/>
    <mergeCell ref="B1603:D1603"/>
    <mergeCell ref="B1605:D1605"/>
    <mergeCell ref="B1607:D1607"/>
    <mergeCell ref="B1609:D1609"/>
    <mergeCell ref="A1531:E1531"/>
    <mergeCell ref="A1533:E1533"/>
    <mergeCell ref="A1555:D1555"/>
    <mergeCell ref="A1557:A1563"/>
    <mergeCell ref="A1564:D1564"/>
    <mergeCell ref="A1566:D1566"/>
    <mergeCell ref="B1692:D1692"/>
    <mergeCell ref="B1697:D1697"/>
    <mergeCell ref="B1702:D1702"/>
    <mergeCell ref="B1707:D1707"/>
    <mergeCell ref="B1708:D1708"/>
    <mergeCell ref="B1469:D1469"/>
    <mergeCell ref="A1472:A1484"/>
    <mergeCell ref="A1489:E1489"/>
    <mergeCell ref="A1491:A1497"/>
    <mergeCell ref="A1498:E1498"/>
    <mergeCell ref="A1500:E1500"/>
    <mergeCell ref="A1505:A1517"/>
    <mergeCell ref="A1522:E1522"/>
    <mergeCell ref="A1524:A1530"/>
    <mergeCell ref="A1538:A1554"/>
    <mergeCell ref="A1571:A1587"/>
    <mergeCell ref="A1588:D1588"/>
    <mergeCell ref="A1438:F1438"/>
    <mergeCell ref="B1439:D1439"/>
    <mergeCell ref="B1404:D1404"/>
    <mergeCell ref="A1409:E1409"/>
    <mergeCell ref="A1416:E1416"/>
    <mergeCell ref="B1411:D1411"/>
    <mergeCell ref="B1418:D1418"/>
    <mergeCell ref="B1425:D1425"/>
    <mergeCell ref="B1427:D1427"/>
    <mergeCell ref="B1429:D1429"/>
    <mergeCell ref="B1431:D1431"/>
    <mergeCell ref="B1433:D1433"/>
    <mergeCell ref="B1435:D1435"/>
    <mergeCell ref="B1437:D1437"/>
    <mergeCell ref="A1423:E1423"/>
    <mergeCell ref="A1426:F1426"/>
    <mergeCell ref="A1428:F1428"/>
    <mergeCell ref="A1430:F1430"/>
    <mergeCell ref="A1432:F1432"/>
    <mergeCell ref="A1434:F1434"/>
    <mergeCell ref="A1436:F1436"/>
    <mergeCell ref="B1245:D1245"/>
    <mergeCell ref="A1345:C1345"/>
    <mergeCell ref="E1325:F1325"/>
    <mergeCell ref="E1326:F1326"/>
    <mergeCell ref="E1332:F1332"/>
    <mergeCell ref="E1333:F1333"/>
    <mergeCell ref="E1343:F1343"/>
    <mergeCell ref="E1344:F1344"/>
    <mergeCell ref="E1352:F1352"/>
    <mergeCell ref="A1295:C1295"/>
    <mergeCell ref="A1302:C1302"/>
    <mergeCell ref="D1317:F1317"/>
    <mergeCell ref="D1318:F1318"/>
    <mergeCell ref="A1309:A1312"/>
    <mergeCell ref="F1309:F1312"/>
    <mergeCell ref="A1327:C1327"/>
    <mergeCell ref="B1306:D1306"/>
    <mergeCell ref="A1334:C1334"/>
    <mergeCell ref="D1257:F1257"/>
    <mergeCell ref="B1246:D1246"/>
    <mergeCell ref="D1249:F1249"/>
    <mergeCell ref="D1264:F1264"/>
    <mergeCell ref="B1290:D1290"/>
    <mergeCell ref="B1297:D1297"/>
    <mergeCell ref="B1304:D1304"/>
    <mergeCell ref="B1305:D1305"/>
    <mergeCell ref="B1254:D1254"/>
    <mergeCell ref="B1261:D1261"/>
    <mergeCell ref="B1270:D1270"/>
    <mergeCell ref="B1277:D1277"/>
    <mergeCell ref="B1284:D1284"/>
    <mergeCell ref="D1217:F1217"/>
    <mergeCell ref="D1224:F1224"/>
    <mergeCell ref="D1230:F1230"/>
    <mergeCell ref="F1242:F1243"/>
    <mergeCell ref="A1152:A1155"/>
    <mergeCell ref="B1152:B1154"/>
    <mergeCell ref="F1152:F1156"/>
    <mergeCell ref="A1163:C1163"/>
    <mergeCell ref="B1221:D1221"/>
    <mergeCell ref="B1238:D1238"/>
    <mergeCell ref="B1239:D1239"/>
    <mergeCell ref="B1165:D1165"/>
    <mergeCell ref="B1207:D1207"/>
    <mergeCell ref="B1208:D1208"/>
    <mergeCell ref="B1214:D1214"/>
    <mergeCell ref="B1166:D1166"/>
    <mergeCell ref="B1173:D1173"/>
    <mergeCell ref="B1180:D1180"/>
    <mergeCell ref="B1182:D1182"/>
    <mergeCell ref="B1184:D1184"/>
    <mergeCell ref="B1193:D1193"/>
    <mergeCell ref="D1232:F1232"/>
    <mergeCell ref="F782:F785"/>
    <mergeCell ref="A787:C787"/>
    <mergeCell ref="A792:A794"/>
    <mergeCell ref="D792:D794"/>
    <mergeCell ref="F792:F794"/>
    <mergeCell ref="A799:C799"/>
    <mergeCell ref="A782:A785"/>
    <mergeCell ref="D782:D785"/>
    <mergeCell ref="A1205:E1205"/>
    <mergeCell ref="B1060:D1060"/>
    <mergeCell ref="B1061:D1061"/>
    <mergeCell ref="B1062:D1062"/>
    <mergeCell ref="A1009:F1009"/>
    <mergeCell ref="B1063:D1063"/>
    <mergeCell ref="B1065:D1065"/>
    <mergeCell ref="B1066:D1066"/>
    <mergeCell ref="B1067:D1067"/>
    <mergeCell ref="B1068:D1068"/>
    <mergeCell ref="B1059:D1059"/>
    <mergeCell ref="A1021:A1037"/>
    <mergeCell ref="D1022:D1037"/>
    <mergeCell ref="F1022:F1037"/>
    <mergeCell ref="A1039:A1051"/>
    <mergeCell ref="D1040:D1051"/>
    <mergeCell ref="F467:F486"/>
    <mergeCell ref="A704:E704"/>
    <mergeCell ref="A714:E714"/>
    <mergeCell ref="F559:F564"/>
    <mergeCell ref="A574:A578"/>
    <mergeCell ref="F574:F578"/>
    <mergeCell ref="A586:E586"/>
    <mergeCell ref="A566:A571"/>
    <mergeCell ref="F566:F571"/>
    <mergeCell ref="A580:A584"/>
    <mergeCell ref="F580:F584"/>
    <mergeCell ref="B696:D696"/>
    <mergeCell ref="B706:D706"/>
    <mergeCell ref="F537:F554"/>
    <mergeCell ref="A491:A510"/>
    <mergeCell ref="F491:F510"/>
    <mergeCell ref="A513:A530"/>
    <mergeCell ref="F513:F530"/>
    <mergeCell ref="F768:F775"/>
    <mergeCell ref="A758:A765"/>
    <mergeCell ref="D758:D765"/>
    <mergeCell ref="A768:A775"/>
    <mergeCell ref="D768:D775"/>
    <mergeCell ref="B716:D716"/>
    <mergeCell ref="B753:D753"/>
    <mergeCell ref="A733:E733"/>
    <mergeCell ref="A749:E749"/>
    <mergeCell ref="A751:E751"/>
    <mergeCell ref="A736:A748"/>
    <mergeCell ref="F652:F671"/>
    <mergeCell ref="A674:A691"/>
    <mergeCell ref="F674:F691"/>
    <mergeCell ref="B588:D588"/>
    <mergeCell ref="A646:E646"/>
    <mergeCell ref="D637:D639"/>
    <mergeCell ref="A642:A644"/>
    <mergeCell ref="D642:D644"/>
    <mergeCell ref="F642:F644"/>
    <mergeCell ref="F613:F630"/>
    <mergeCell ref="A632:E632"/>
    <mergeCell ref="A637:A639"/>
    <mergeCell ref="F637:F639"/>
    <mergeCell ref="B634:D634"/>
    <mergeCell ref="B1771:D1771"/>
    <mergeCell ref="B2397:D2397"/>
    <mergeCell ref="B2507:D2507"/>
    <mergeCell ref="F65:F82"/>
    <mergeCell ref="B1657:D1657"/>
    <mergeCell ref="B1662:D1662"/>
    <mergeCell ref="B1663:D1663"/>
    <mergeCell ref="B1668:D1668"/>
    <mergeCell ref="B1636:D1636"/>
    <mergeCell ref="B1638:D1638"/>
    <mergeCell ref="B1639:D1639"/>
    <mergeCell ref="B1644:D1644"/>
    <mergeCell ref="B1651:D1651"/>
    <mergeCell ref="B1627:D1627"/>
    <mergeCell ref="B1628:D1628"/>
    <mergeCell ref="B1630:D1630"/>
    <mergeCell ref="B1632:D1632"/>
    <mergeCell ref="F361:F363"/>
    <mergeCell ref="A365:E365"/>
    <mergeCell ref="B2505:D2505"/>
    <mergeCell ref="B2398:D2398"/>
    <mergeCell ref="B2407:D2407"/>
    <mergeCell ref="B2416:D2416"/>
    <mergeCell ref="B2504:D2504"/>
    <mergeCell ref="B1398:D1398"/>
    <mergeCell ref="A461:B461"/>
    <mergeCell ref="A537:A554"/>
    <mergeCell ref="B1467:D1467"/>
    <mergeCell ref="A693:E693"/>
    <mergeCell ref="A467:A486"/>
    <mergeCell ref="A1124:A1125"/>
    <mergeCell ref="D1123:D1125"/>
    <mergeCell ref="A1135:A1138"/>
    <mergeCell ref="A1143:A1146"/>
    <mergeCell ref="B1143:B1145"/>
    <mergeCell ref="A1178:D1178"/>
    <mergeCell ref="A1181:F1181"/>
    <mergeCell ref="A1183:F1183"/>
    <mergeCell ref="A1191:D1191"/>
    <mergeCell ref="A1198:E1198"/>
    <mergeCell ref="B1085:D1085"/>
    <mergeCell ref="B1158:D1158"/>
    <mergeCell ref="F1088:F1091"/>
    <mergeCell ref="F758:F765"/>
    <mergeCell ref="A719:A732"/>
    <mergeCell ref="A591:A610"/>
    <mergeCell ref="F591:F610"/>
    <mergeCell ref="A652:A671"/>
    <mergeCell ref="B1314:D1314"/>
    <mergeCell ref="B1321:D1321"/>
    <mergeCell ref="B1322:D1322"/>
    <mergeCell ref="B1329:D1329"/>
    <mergeCell ref="B1336:D1336"/>
    <mergeCell ref="A377:E377"/>
    <mergeCell ref="A387:E387"/>
    <mergeCell ref="A361:A363"/>
    <mergeCell ref="A433:E433"/>
    <mergeCell ref="B1200:D1200"/>
    <mergeCell ref="A1171:E1171"/>
    <mergeCell ref="A435:E435"/>
    <mergeCell ref="A440:A446"/>
    <mergeCell ref="A450:A458"/>
    <mergeCell ref="A447:B447"/>
    <mergeCell ref="A459:B459"/>
    <mergeCell ref="A392:A399"/>
    <mergeCell ref="A812:C812"/>
    <mergeCell ref="A804:A806"/>
    <mergeCell ref="D804:D806"/>
    <mergeCell ref="A809:A810"/>
    <mergeCell ref="D809:D810"/>
    <mergeCell ref="B1227:D1227"/>
    <mergeCell ref="A1212:D1212"/>
    <mergeCell ref="B1366:D1366"/>
    <mergeCell ref="B1375:D1375"/>
    <mergeCell ref="B1384:D1384"/>
    <mergeCell ref="B1385:D1385"/>
    <mergeCell ref="B1391:D1391"/>
    <mergeCell ref="B1337:D1337"/>
    <mergeCell ref="B1338:D1338"/>
    <mergeCell ref="B1347:D1347"/>
    <mergeCell ref="B1356:D1356"/>
    <mergeCell ref="B1365:D1365"/>
    <mergeCell ref="A1363:C1363"/>
    <mergeCell ref="A1373:E1373"/>
    <mergeCell ref="F1135:F1138"/>
    <mergeCell ref="F1143:F1147"/>
    <mergeCell ref="B1008:D1008"/>
    <mergeCell ref="B1010:D1010"/>
    <mergeCell ref="B1011:D1011"/>
    <mergeCell ref="B1012:D1012"/>
    <mergeCell ref="B1013:D1013"/>
    <mergeCell ref="B1014:D1014"/>
    <mergeCell ref="B1015:D1015"/>
    <mergeCell ref="B1016:D1016"/>
    <mergeCell ref="B1017:D1017"/>
    <mergeCell ref="B1018:D1018"/>
    <mergeCell ref="B1019:D1019"/>
    <mergeCell ref="B1056:D1056"/>
    <mergeCell ref="B1057:D1057"/>
    <mergeCell ref="B1058:D1058"/>
    <mergeCell ref="B1098:C1098"/>
    <mergeCell ref="B1099:C1099"/>
    <mergeCell ref="A1100:E1100"/>
    <mergeCell ref="F1105:F1108"/>
    <mergeCell ref="B1120:D1120"/>
    <mergeCell ref="B1127:D1127"/>
    <mergeCell ref="B1132:D1132"/>
    <mergeCell ref="B1140:D1140"/>
    <mergeCell ref="A894:A899"/>
    <mergeCell ref="B1149:D1149"/>
    <mergeCell ref="A1000:A1004"/>
    <mergeCell ref="D992:D997"/>
    <mergeCell ref="D1000:D1004"/>
    <mergeCell ref="B1093:D1093"/>
    <mergeCell ref="B1102:D1102"/>
    <mergeCell ref="B1110:D1110"/>
    <mergeCell ref="B1115:D1115"/>
    <mergeCell ref="A1088:A1091"/>
    <mergeCell ref="B833:D833"/>
    <mergeCell ref="B959:D959"/>
    <mergeCell ref="B834:D834"/>
    <mergeCell ref="B859:D859"/>
    <mergeCell ref="B873:D873"/>
    <mergeCell ref="B891:D891"/>
    <mergeCell ref="A871:E871"/>
    <mergeCell ref="A864:E864"/>
    <mergeCell ref="A867:A868"/>
    <mergeCell ref="A869:E869"/>
    <mergeCell ref="A876:A877"/>
    <mergeCell ref="A887:E887"/>
    <mergeCell ref="A883:A884"/>
    <mergeCell ref="A885:A886"/>
    <mergeCell ref="A900:E900"/>
    <mergeCell ref="A848:A855"/>
    <mergeCell ref="A941:A943"/>
    <mergeCell ref="D941:D943"/>
    <mergeCell ref="A945:C945"/>
    <mergeCell ref="A878:A879"/>
    <mergeCell ref="A880:E880"/>
    <mergeCell ref="A889:E889"/>
    <mergeCell ref="A950:A951"/>
    <mergeCell ref="A910:E910"/>
    <mergeCell ref="B22:D22"/>
    <mergeCell ref="B27:D27"/>
    <mergeCell ref="B32:D32"/>
    <mergeCell ref="B33:D33"/>
    <mergeCell ref="B34:D34"/>
    <mergeCell ref="B94:D94"/>
    <mergeCell ref="B101:D101"/>
    <mergeCell ref="B219:D219"/>
    <mergeCell ref="B255:D255"/>
    <mergeCell ref="B111:D111"/>
    <mergeCell ref="B155:D155"/>
    <mergeCell ref="B199:D199"/>
    <mergeCell ref="F114:F131"/>
    <mergeCell ref="A134:A151"/>
    <mergeCell ref="F134:F151"/>
    <mergeCell ref="F97:F99"/>
    <mergeCell ref="A5:F5"/>
    <mergeCell ref="A37:A54"/>
    <mergeCell ref="F37:F54"/>
    <mergeCell ref="B6:D6"/>
    <mergeCell ref="A12:A13"/>
    <mergeCell ref="D12:D13"/>
    <mergeCell ref="F84:F90"/>
    <mergeCell ref="E12:F12"/>
    <mergeCell ref="A56:A62"/>
    <mergeCell ref="F56:F62"/>
    <mergeCell ref="A65:A82"/>
    <mergeCell ref="A84:A90"/>
    <mergeCell ref="A92:E92"/>
    <mergeCell ref="A109:E109"/>
    <mergeCell ref="A114:A131"/>
    <mergeCell ref="B7:D7"/>
    <mergeCell ref="B8:D8"/>
    <mergeCell ref="B9:D9"/>
    <mergeCell ref="B15:D15"/>
    <mergeCell ref="B20:D20"/>
    <mergeCell ref="F202:F207"/>
    <mergeCell ref="A209:A215"/>
    <mergeCell ref="A275:A287"/>
    <mergeCell ref="F210:F215"/>
    <mergeCell ref="D202:D207"/>
    <mergeCell ref="D210:D215"/>
    <mergeCell ref="A217:C217"/>
    <mergeCell ref="A153:E153"/>
    <mergeCell ref="F177:F195"/>
    <mergeCell ref="A157:A174"/>
    <mergeCell ref="A176:A195"/>
    <mergeCell ref="F158:F174"/>
    <mergeCell ref="B183:B184"/>
    <mergeCell ref="B185:B186"/>
    <mergeCell ref="A197:E197"/>
    <mergeCell ref="A201:A207"/>
    <mergeCell ref="F240:F251"/>
    <mergeCell ref="D222:D237"/>
    <mergeCell ref="D240:D251"/>
    <mergeCell ref="A253:C253"/>
    <mergeCell ref="A257:A273"/>
    <mergeCell ref="D258:D273"/>
    <mergeCell ref="F258:F273"/>
    <mergeCell ref="A221:A237"/>
    <mergeCell ref="A414:E414"/>
    <mergeCell ref="F222:F237"/>
    <mergeCell ref="A239:A251"/>
    <mergeCell ref="F276:F287"/>
    <mergeCell ref="A289:C289"/>
    <mergeCell ref="A294:A310"/>
    <mergeCell ref="F294:F310"/>
    <mergeCell ref="A313:A329"/>
    <mergeCell ref="F313:F329"/>
    <mergeCell ref="A331:E331"/>
    <mergeCell ref="B291:D291"/>
    <mergeCell ref="B333:D333"/>
    <mergeCell ref="B349:D349"/>
    <mergeCell ref="B379:D379"/>
    <mergeCell ref="B389:D389"/>
    <mergeCell ref="A400:E400"/>
    <mergeCell ref="D276:D287"/>
    <mergeCell ref="A403:A411"/>
    <mergeCell ref="A428:A432"/>
    <mergeCell ref="B754:D754"/>
    <mergeCell ref="B755:D755"/>
    <mergeCell ref="B779:D779"/>
    <mergeCell ref="F848:F855"/>
    <mergeCell ref="D837:D845"/>
    <mergeCell ref="D848:D855"/>
    <mergeCell ref="A837:A845"/>
    <mergeCell ref="F837:F845"/>
    <mergeCell ref="B488:D488"/>
    <mergeCell ref="B534:D534"/>
    <mergeCell ref="B556:D556"/>
    <mergeCell ref="A532:E532"/>
    <mergeCell ref="A559:A564"/>
    <mergeCell ref="A613:A630"/>
    <mergeCell ref="A777:C777"/>
    <mergeCell ref="B814:D814"/>
    <mergeCell ref="B826:D826"/>
    <mergeCell ref="A831:C831"/>
    <mergeCell ref="A821:A822"/>
    <mergeCell ref="D821:D822"/>
    <mergeCell ref="A824:C824"/>
    <mergeCell ref="A817:A818"/>
    <mergeCell ref="D817:D818"/>
    <mergeCell ref="A857:C857"/>
    <mergeCell ref="A862:A863"/>
    <mergeCell ref="A336:A339"/>
    <mergeCell ref="A343:A344"/>
    <mergeCell ref="A347:E347"/>
    <mergeCell ref="A340:E340"/>
    <mergeCell ref="A345:E345"/>
    <mergeCell ref="B416:D416"/>
    <mergeCell ref="B437:D437"/>
    <mergeCell ref="B354:D354"/>
    <mergeCell ref="B355:D355"/>
    <mergeCell ref="B367:D367"/>
    <mergeCell ref="B368:D368"/>
    <mergeCell ref="B369:D369"/>
    <mergeCell ref="B648:D648"/>
    <mergeCell ref="B649:D649"/>
    <mergeCell ref="B463:D463"/>
    <mergeCell ref="B464:D464"/>
    <mergeCell ref="B789:D789"/>
    <mergeCell ref="B801:D801"/>
    <mergeCell ref="B695:D695"/>
    <mergeCell ref="A412:E412"/>
    <mergeCell ref="A419:A424"/>
    <mergeCell ref="A425:E425"/>
    <mergeCell ref="A903:A907"/>
    <mergeCell ref="A908:E908"/>
    <mergeCell ref="A916:A921"/>
    <mergeCell ref="B912:D912"/>
    <mergeCell ref="B913:D913"/>
    <mergeCell ref="B932:D932"/>
    <mergeCell ref="A957:C957"/>
    <mergeCell ref="D950:D951"/>
    <mergeCell ref="A954:A955"/>
    <mergeCell ref="D954:D955"/>
    <mergeCell ref="D916:D921"/>
    <mergeCell ref="A924:A928"/>
    <mergeCell ref="D924:D928"/>
    <mergeCell ref="A930:C930"/>
    <mergeCell ref="A935:A938"/>
    <mergeCell ref="D935:D938"/>
    <mergeCell ref="B947:D947"/>
    <mergeCell ref="B1772:D1772"/>
    <mergeCell ref="B1773:D1773"/>
    <mergeCell ref="B1796:D1796"/>
    <mergeCell ref="B1806:D1806"/>
    <mergeCell ref="B1819:D1819"/>
    <mergeCell ref="B1825:D1825"/>
    <mergeCell ref="B1833:D1833"/>
    <mergeCell ref="B1844:D1844"/>
    <mergeCell ref="A962:A965"/>
    <mergeCell ref="D962:D965"/>
    <mergeCell ref="A968:A970"/>
    <mergeCell ref="D968:D970"/>
    <mergeCell ref="A972:C972"/>
    <mergeCell ref="A977:A980"/>
    <mergeCell ref="D977:D980"/>
    <mergeCell ref="A983:A985"/>
    <mergeCell ref="D983:D985"/>
    <mergeCell ref="B974:D974"/>
    <mergeCell ref="B989:D989"/>
    <mergeCell ref="B1083:D1083"/>
    <mergeCell ref="B1084:D1084"/>
    <mergeCell ref="A987:C987"/>
    <mergeCell ref="A1006:C1006"/>
    <mergeCell ref="A992:A997"/>
    <mergeCell ref="B1966:D1966"/>
    <mergeCell ref="B1967:D1967"/>
    <mergeCell ref="B1973:D1973"/>
    <mergeCell ref="A1969:A1970"/>
    <mergeCell ref="A1971:D1971"/>
    <mergeCell ref="B1915:D1915"/>
    <mergeCell ref="B1948:D1948"/>
    <mergeCell ref="B1949:D1949"/>
    <mergeCell ref="B1950:D1950"/>
    <mergeCell ref="B1956:D1956"/>
    <mergeCell ref="B1958:D1958"/>
    <mergeCell ref="B1960:D1960"/>
    <mergeCell ref="B2034:D2034"/>
    <mergeCell ref="B2040:D2040"/>
    <mergeCell ref="B2041:D2041"/>
    <mergeCell ref="D2037:F2037"/>
    <mergeCell ref="D2031:F2031"/>
    <mergeCell ref="B1974:D1974"/>
    <mergeCell ref="B2009:D2009"/>
    <mergeCell ref="B1975:D1975"/>
    <mergeCell ref="B1982:D1982"/>
    <mergeCell ref="B1990:D1990"/>
    <mergeCell ref="B1996:D1996"/>
    <mergeCell ref="B2008:D2008"/>
    <mergeCell ref="B2011:D2011"/>
    <mergeCell ref="B2013:D2013"/>
    <mergeCell ref="A2010:F2010"/>
    <mergeCell ref="D1978:F1978"/>
    <mergeCell ref="D1985:F1985"/>
    <mergeCell ref="B2002:D2002"/>
    <mergeCell ref="D1992:F1992"/>
    <mergeCell ref="A1998:A1999"/>
    <mergeCell ref="A2000:E2000"/>
    <mergeCell ref="D2004:F2004"/>
    <mergeCell ref="A2012:F2012"/>
    <mergeCell ref="A2175:A2176"/>
    <mergeCell ref="D2175:D2176"/>
    <mergeCell ref="B2102:D2102"/>
    <mergeCell ref="B2103:D2103"/>
    <mergeCell ref="B2108:D2108"/>
    <mergeCell ref="B2113:D2113"/>
    <mergeCell ref="B2125:D2125"/>
    <mergeCell ref="B2126:D2126"/>
    <mergeCell ref="B2138:D2138"/>
    <mergeCell ref="B2376:D2376"/>
    <mergeCell ref="B2287:D2287"/>
    <mergeCell ref="B2289:D2289"/>
    <mergeCell ref="B2291:D2291"/>
    <mergeCell ref="B2293:D2293"/>
    <mergeCell ref="B2295:D2295"/>
    <mergeCell ref="B2297:D2297"/>
    <mergeCell ref="B2299:D2299"/>
    <mergeCell ref="A2288:F2288"/>
    <mergeCell ref="A2290:F2290"/>
    <mergeCell ref="A2292:F2292"/>
    <mergeCell ref="A2294:F2294"/>
    <mergeCell ref="A2296:F2296"/>
    <mergeCell ref="A2298:F2298"/>
    <mergeCell ref="B2326:D2326"/>
    <mergeCell ref="B2332:D2332"/>
    <mergeCell ref="B2172:D2172"/>
    <mergeCell ref="A2020:F2020"/>
    <mergeCell ref="D2023:F2023"/>
    <mergeCell ref="B2181:D2181"/>
    <mergeCell ref="A2216:E2216"/>
    <mergeCell ref="A2343:C2343"/>
    <mergeCell ref="A2350:C2350"/>
    <mergeCell ref="B2373:D2373"/>
    <mergeCell ref="B2374:D2374"/>
    <mergeCell ref="A2225:E2225"/>
    <mergeCell ref="A2237:D2237"/>
    <mergeCell ref="B2224:D2224"/>
    <mergeCell ref="A2195:A2196"/>
    <mergeCell ref="D2195:D2196"/>
    <mergeCell ref="A2197:C2197"/>
    <mergeCell ref="A2202:A2203"/>
    <mergeCell ref="B2079:D2079"/>
    <mergeCell ref="B2086:D2086"/>
    <mergeCell ref="B2087:D2087"/>
    <mergeCell ref="B2088:D2088"/>
    <mergeCell ref="B2095:D2095"/>
    <mergeCell ref="A2141:F2141"/>
    <mergeCell ref="A2155:F2155"/>
    <mergeCell ref="A2169:C2169"/>
    <mergeCell ref="A1776:A1793"/>
    <mergeCell ref="A1804:C1804"/>
    <mergeCell ref="A1823:C1823"/>
    <mergeCell ref="A1848:C1848"/>
    <mergeCell ref="A1864:C1864"/>
    <mergeCell ref="A1868:A1869"/>
    <mergeCell ref="A1952:A1953"/>
    <mergeCell ref="A1954:D1954"/>
    <mergeCell ref="A1957:F1957"/>
    <mergeCell ref="B1850:D1850"/>
    <mergeCell ref="B1859:D1859"/>
    <mergeCell ref="B1866:D1866"/>
    <mergeCell ref="B1871:D1871"/>
    <mergeCell ref="B1879:D1879"/>
    <mergeCell ref="B1888:D1888"/>
    <mergeCell ref="B1896:D1896"/>
    <mergeCell ref="B1903:D1903"/>
    <mergeCell ref="B1910:D1910"/>
    <mergeCell ref="A1873:A1877"/>
    <mergeCell ref="B1874:B1877"/>
    <mergeCell ref="E1874:E1877"/>
    <mergeCell ref="B1923:D1923"/>
    <mergeCell ref="B1929:D1929"/>
    <mergeCell ref="A1905:A1908"/>
    <mergeCell ref="E1906:E1908"/>
    <mergeCell ref="A1912:A1913"/>
    <mergeCell ref="B1936:D1936"/>
    <mergeCell ref="A1917:A1920"/>
    <mergeCell ref="A1921:D1921"/>
    <mergeCell ref="A1927:C1927"/>
    <mergeCell ref="A1931:A1933"/>
    <mergeCell ref="A1934:D1934"/>
    <mergeCell ref="B1942:D1942"/>
    <mergeCell ref="B2015:D2015"/>
    <mergeCell ref="B2017:D2017"/>
    <mergeCell ref="B2019:D2019"/>
    <mergeCell ref="A1959:F1959"/>
    <mergeCell ref="A1962:A1963"/>
    <mergeCell ref="A1964:E1964"/>
    <mergeCell ref="A2014:F2014"/>
    <mergeCell ref="A2016:F2016"/>
    <mergeCell ref="A2100:C2100"/>
    <mergeCell ref="A2044:A2045"/>
    <mergeCell ref="D2044:D2045"/>
    <mergeCell ref="D2046:D2047"/>
    <mergeCell ref="A2046:A2047"/>
    <mergeCell ref="A2048:C2048"/>
    <mergeCell ref="A2018:F2018"/>
    <mergeCell ref="A2069:C2069"/>
    <mergeCell ref="A2077:C2077"/>
    <mergeCell ref="A2075:A2076"/>
    <mergeCell ref="D2075:D2076"/>
    <mergeCell ref="A2084:C2084"/>
    <mergeCell ref="A2093:C2093"/>
    <mergeCell ref="B2021:D2021"/>
    <mergeCell ref="B2027:D2027"/>
    <mergeCell ref="B2028:D2028"/>
    <mergeCell ref="A2502:E2502"/>
    <mergeCell ref="D2202:D2203"/>
    <mergeCell ref="A2204:A2205"/>
    <mergeCell ref="D2204:D2205"/>
    <mergeCell ref="A2206:C2206"/>
    <mergeCell ref="A2177:A2178"/>
    <mergeCell ref="D2177:D2178"/>
    <mergeCell ref="A2179:C2179"/>
    <mergeCell ref="A2184:A2185"/>
    <mergeCell ref="D2184:D2185"/>
    <mergeCell ref="A2186:A2187"/>
    <mergeCell ref="D2186:D2187"/>
    <mergeCell ref="A2188:C2188"/>
    <mergeCell ref="A2193:A2194"/>
    <mergeCell ref="D2193:D2194"/>
    <mergeCell ref="B2190:D2190"/>
    <mergeCell ref="B2199:D2199"/>
    <mergeCell ref="B2378:D2378"/>
    <mergeCell ref="A2322:F2322"/>
    <mergeCell ref="A2324:F2324"/>
    <mergeCell ref="A2330:D2330"/>
    <mergeCell ref="A2337:C2337"/>
    <mergeCell ref="B2208:D2208"/>
    <mergeCell ref="B2209:D2209"/>
    <mergeCell ref="B2380:D2380"/>
    <mergeCell ref="B2382:D2382"/>
    <mergeCell ref="B2319:D2319"/>
    <mergeCell ref="B2321:D2321"/>
    <mergeCell ref="B2323:D2323"/>
    <mergeCell ref="B2325:D2325"/>
    <mergeCell ref="B2139:D2139"/>
    <mergeCell ref="B2140:D2140"/>
    <mergeCell ref="B2050:D2050"/>
    <mergeCell ref="B2057:D2057"/>
    <mergeCell ref="B2064:D2064"/>
    <mergeCell ref="B2071:D2071"/>
    <mergeCell ref="B2210:D2210"/>
    <mergeCell ref="B2218:D2218"/>
    <mergeCell ref="B2227:D2227"/>
    <mergeCell ref="B2228:D2228"/>
    <mergeCell ref="B2239:D2239"/>
    <mergeCell ref="B2142:D2142"/>
    <mergeCell ref="B2147:D2147"/>
    <mergeCell ref="B2154:D2154"/>
    <mergeCell ref="B2156:D2156"/>
    <mergeCell ref="B2157:D2157"/>
    <mergeCell ref="B2162:D2162"/>
    <mergeCell ref="B2171:D2171"/>
  </mergeCells>
  <phoneticPr fontId="17" type="noConversion"/>
  <pageMargins left="0.23622047244094491" right="0.23622047244094491" top="0.74803149606299213" bottom="0.74803149606299213" header="0.31496062992125984" footer="0.31496062992125984"/>
  <pageSetup paperSize="9" scale="81" fitToHeight="0" orientation="portrait" r:id="rId1"/>
  <headerFooter>
    <oddHeader>&amp;L &amp;CServiço Social do Comercio
CNPJ: 03.779.012/0001-54 &amp;R</oddHeader>
    <oddFooter>&amp;L &amp;C  -  -  / TO
 / obras@sescto.com.br &amp;R</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46E9B6CE21775459BDA8F2161411932" ma:contentTypeVersion="14" ma:contentTypeDescription="Crie um novo documento." ma:contentTypeScope="" ma:versionID="2d46bf54bcd22c365606006b59f59b94">
  <xsd:schema xmlns:xsd="http://www.w3.org/2001/XMLSchema" xmlns:xs="http://www.w3.org/2001/XMLSchema" xmlns:p="http://schemas.microsoft.com/office/2006/metadata/properties" xmlns:ns2="312d50dd-9ade-45ca-bffa-ed33dafb4f5e" xmlns:ns3="9fb5a476-e7e6-483c-9ed8-20c9f3be5881" targetNamespace="http://schemas.microsoft.com/office/2006/metadata/properties" ma:root="true" ma:fieldsID="e08a615deb3392174abfd6d89e7fed6e" ns2:_="" ns3:_="">
    <xsd:import namespace="312d50dd-9ade-45ca-bffa-ed33dafb4f5e"/>
    <xsd:import namespace="9fb5a476-e7e6-483c-9ed8-20c9f3be588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2d50dd-9ade-45ca-bffa-ed33dafb4f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Marcações de imagem" ma:readOnly="false" ma:fieldId="{5cf76f15-5ced-4ddc-b409-7134ff3c332f}" ma:taxonomyMulti="true" ma:sspId="1bf5137a-f16b-4c6f-9f4b-22cd1f3ec5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fb5a476-e7e6-483c-9ed8-20c9f3be5881" elementFormDefault="qualified">
    <xsd:import namespace="http://schemas.microsoft.com/office/2006/documentManagement/types"/>
    <xsd:import namespace="http://schemas.microsoft.com/office/infopath/2007/PartnerControls"/>
    <xsd:element name="SharedWithUsers" ma:index="16"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hes de Compartilhado Com" ma:internalName="SharedWithDetails" ma:readOnly="true">
      <xsd:simpleType>
        <xsd:restriction base="dms:Note">
          <xsd:maxLength value="255"/>
        </xsd:restriction>
      </xsd:simpleType>
    </xsd:element>
    <xsd:element name="TaxCatchAll" ma:index="20" nillable="true" ma:displayName="Taxonomy Catch All Column" ma:hidden="true" ma:list="{9b6bd789-e62d-49a6-ae3a-670ca7bd2281}" ma:internalName="TaxCatchAll" ma:showField="CatchAllData" ma:web="9fb5a476-e7e6-483c-9ed8-20c9f3be588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fb5a476-e7e6-483c-9ed8-20c9f3be5881" xsi:nil="true"/>
    <lcf76f155ced4ddcb4097134ff3c332f xmlns="312d50dd-9ade-45ca-bffa-ed33dafb4f5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A2FEAC0-F058-4A91-B943-2A0EB113D627}">
  <ds:schemaRefs>
    <ds:schemaRef ds:uri="http://schemas.microsoft.com/sharepoint/v3/contenttype/forms"/>
  </ds:schemaRefs>
</ds:datastoreItem>
</file>

<file path=customXml/itemProps2.xml><?xml version="1.0" encoding="utf-8"?>
<ds:datastoreItem xmlns:ds="http://schemas.openxmlformats.org/officeDocument/2006/customXml" ds:itemID="{2A595398-8D9B-4A12-9428-7720442F9F0C}"/>
</file>

<file path=customXml/itemProps3.xml><?xml version="1.0" encoding="utf-8"?>
<ds:datastoreItem xmlns:ds="http://schemas.openxmlformats.org/officeDocument/2006/customXml" ds:itemID="{BDDCF5D3-64E1-4D51-9F6B-57CC380A23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6</vt:i4>
      </vt:variant>
    </vt:vector>
  </HeadingPairs>
  <TitlesOfParts>
    <vt:vector size="10" baseType="lpstr">
      <vt:lpstr>CRONOGRAMA</vt:lpstr>
      <vt:lpstr>BDI</vt:lpstr>
      <vt:lpstr>ORÇAMENTO SINTÉTICO</vt:lpstr>
      <vt:lpstr>MC</vt:lpstr>
      <vt:lpstr>BDI!Area_de_impressao</vt:lpstr>
      <vt:lpstr>CRONOGRAMA!Area_de_impressao</vt:lpstr>
      <vt:lpstr>MC!Area_de_impressao</vt:lpstr>
      <vt:lpstr>'ORÇAMENTO SINTÉTICO'!Area_de_impressao</vt:lpstr>
      <vt:lpstr>CRONOGRAMA!Titulos_de_impressao</vt:lpstr>
      <vt:lpstr>'ORÇAMENTO SINTÉTICO'!Titulos_de_impressao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Adilio Rodrigues Ribeiro</cp:lastModifiedBy>
  <cp:revision>0</cp:revision>
  <cp:lastPrinted>2024-10-04T19:32:52Z</cp:lastPrinted>
  <dcterms:created xsi:type="dcterms:W3CDTF">2024-09-25T15:31:06Z</dcterms:created>
  <dcterms:modified xsi:type="dcterms:W3CDTF">2024-10-07T18:16:07Z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0x010100146E9B6CE21775459BDA8F2161411932</vt:lpwstr>
  </property>
</Properties>
</file>